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11.xml" ContentType="application/vnd.openxmlformats-officedocument.drawingml.chartshapes+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6.xml" ContentType="application/vnd.openxmlformats-officedocument.drawingml.chartshapes+xml"/>
  <Override PartName="/xl/charts/chart9.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080" yWindow="-192" windowWidth="11100" windowHeight="9408" tabRatio="803"/>
  </bookViews>
  <sheets>
    <sheet name="Info" sheetId="20" r:id="rId1"/>
    <sheet name="Ökorichlinien" sheetId="30" state="hidden" r:id="rId2"/>
    <sheet name="6.000" sheetId="1" r:id="rId3"/>
    <sheet name="Hühnermast" sheetId="33" state="hidden" r:id="rId4"/>
    <sheet name="Folie6.000" sheetId="40" r:id="rId5"/>
    <sheet name="Grafiken6.000" sheetId="31" r:id="rId6"/>
    <sheet name="3.000" sheetId="35" r:id="rId7"/>
    <sheet name="Folie3.000" sheetId="41" r:id="rId8"/>
    <sheet name="Grafiken3.000" sheetId="36" r:id="rId9"/>
    <sheet name="300Mobilstall" sheetId="37" r:id="rId10"/>
    <sheet name="FolieMobilstall" sheetId="39" r:id="rId11"/>
    <sheet name="GrafikenMobilstall" sheetId="38" r:id="rId12"/>
    <sheet name="Tabelle1" sheetId="42" r:id="rId13"/>
  </sheets>
  <definedNames>
    <definedName name="_xlnm.Print_Area" localSheetId="6">'3.000'!$B$2:$J$78</definedName>
    <definedName name="_xlnm.Print_Area" localSheetId="9">'300Mobilstall'!$B$2:$J$78</definedName>
    <definedName name="_xlnm.Print_Area" localSheetId="2">'6.000'!$B$2:$J$78</definedName>
    <definedName name="_xlnm.Print_Area" localSheetId="7">Folie3.000!$C$4:$J$23</definedName>
    <definedName name="_xlnm.Print_Area" localSheetId="4">Folie6.000!$C$4:$J$23</definedName>
    <definedName name="_xlnm.Print_Area" localSheetId="10">FolieMobilstall!$C$4:$J$24</definedName>
    <definedName name="_xlnm.Print_Area" localSheetId="8">Grafiken3.000!$A$1:$M$56</definedName>
    <definedName name="_xlnm.Print_Area" localSheetId="5">Grafiken6.000!$B$3:$M$56</definedName>
    <definedName name="_xlnm.Print_Area" localSheetId="11">GrafikenMobilstall!$A$2:$M$56</definedName>
    <definedName name="_xlnm.Print_Area" localSheetId="0">Info!$B$2:$H$50</definedName>
  </definedNames>
  <calcPr calcId="145621"/>
</workbook>
</file>

<file path=xl/calcChain.xml><?xml version="1.0" encoding="utf-8"?>
<calcChain xmlns="http://schemas.openxmlformats.org/spreadsheetml/2006/main">
  <c r="I15" i="37" l="1"/>
  <c r="I15" i="35"/>
  <c r="I14" i="37"/>
  <c r="I14" i="35"/>
  <c r="I14" i="1"/>
  <c r="I15" i="1" l="1"/>
  <c r="AD10" i="1"/>
  <c r="H29" i="1" l="1"/>
  <c r="H31" i="1" l="1"/>
  <c r="Q16" i="31"/>
  <c r="H53" i="1" l="1"/>
  <c r="I16" i="37" l="1"/>
  <c r="I16" i="35"/>
  <c r="I16" i="1"/>
  <c r="B34" i="37" l="1"/>
  <c r="B34" i="35" l="1"/>
  <c r="E64" i="1" l="1"/>
  <c r="B34" i="1"/>
  <c r="C20" i="1"/>
  <c r="C19" i="1" s="1"/>
  <c r="D4" i="41" l="1"/>
  <c r="D4" i="39"/>
  <c r="D20" i="40" l="1"/>
  <c r="J12" i="40"/>
  <c r="I12" i="40"/>
  <c r="H12" i="40"/>
  <c r="F9" i="40"/>
  <c r="E9" i="40"/>
  <c r="D9" i="40"/>
  <c r="F8" i="40"/>
  <c r="E8" i="40"/>
  <c r="D20" i="41"/>
  <c r="J12" i="41"/>
  <c r="I12" i="41"/>
  <c r="H12" i="41"/>
  <c r="F9" i="41"/>
  <c r="E9" i="41"/>
  <c r="D9" i="41"/>
  <c r="F8" i="41"/>
  <c r="E8" i="41"/>
  <c r="H12" i="39"/>
  <c r="J12" i="39"/>
  <c r="I12" i="39"/>
  <c r="D20" i="39"/>
  <c r="D9" i="39" l="1"/>
  <c r="E9" i="39"/>
  <c r="F9" i="39"/>
  <c r="F8" i="39"/>
  <c r="E8" i="39"/>
  <c r="H3" i="20" l="1"/>
  <c r="L3" i="36" l="1"/>
  <c r="L3" i="31"/>
  <c r="C5" i="39"/>
  <c r="C5" i="41"/>
  <c r="C5" i="40"/>
  <c r="H53" i="35"/>
  <c r="H53" i="37"/>
  <c r="K64" i="1" l="1"/>
  <c r="E75" i="37" l="1"/>
  <c r="E75" i="35"/>
  <c r="E72" i="37"/>
  <c r="E72" i="35"/>
  <c r="E72" i="1" l="1"/>
  <c r="B3" i="38"/>
  <c r="B3" i="36"/>
  <c r="B3" i="31"/>
  <c r="I2" i="37" l="1"/>
  <c r="H31" i="37" l="1"/>
  <c r="E64" i="37"/>
  <c r="K64" i="37"/>
  <c r="Q25" i="38" l="1"/>
  <c r="N24" i="38"/>
  <c r="Q22" i="38"/>
  <c r="N22" i="38"/>
  <c r="Q21" i="38"/>
  <c r="N21" i="38"/>
  <c r="N20" i="38"/>
  <c r="Q19" i="38"/>
  <c r="N19" i="38"/>
  <c r="Q16" i="38"/>
  <c r="J8" i="38"/>
  <c r="H8" i="38"/>
  <c r="F8" i="38"/>
  <c r="J7" i="38"/>
  <c r="H7" i="38"/>
  <c r="J68" i="37"/>
  <c r="J60" i="37"/>
  <c r="J54" i="37"/>
  <c r="J53" i="37"/>
  <c r="I53" i="37"/>
  <c r="G53" i="37"/>
  <c r="J48" i="37"/>
  <c r="J44" i="37"/>
  <c r="J45" i="37" s="1"/>
  <c r="I44" i="37"/>
  <c r="I45" i="37" s="1"/>
  <c r="I46" i="37" s="1"/>
  <c r="H44" i="37"/>
  <c r="H45" i="37" s="1"/>
  <c r="G44" i="37"/>
  <c r="G45" i="37" s="1"/>
  <c r="G46" i="37" s="1"/>
  <c r="E42" i="37"/>
  <c r="K36" i="37"/>
  <c r="I35" i="37"/>
  <c r="Q24" i="38" s="1"/>
  <c r="K34" i="37"/>
  <c r="K33" i="37"/>
  <c r="K32" i="37"/>
  <c r="K31" i="37"/>
  <c r="Q20" i="38"/>
  <c r="K30" i="37"/>
  <c r="K29" i="37"/>
  <c r="H29" i="37"/>
  <c r="Q18" i="38" s="1"/>
  <c r="K28" i="37"/>
  <c r="I25" i="37"/>
  <c r="I24" i="37"/>
  <c r="C20" i="37"/>
  <c r="B18" i="37"/>
  <c r="J7" i="37"/>
  <c r="F7" i="37"/>
  <c r="F5" i="39" s="1"/>
  <c r="B64" i="37" l="1"/>
  <c r="B56" i="37"/>
  <c r="B51" i="37"/>
  <c r="B49" i="37"/>
  <c r="B47" i="37"/>
  <c r="B66" i="37"/>
  <c r="B58" i="37"/>
  <c r="B55" i="37"/>
  <c r="B50" i="37"/>
  <c r="B48" i="37"/>
  <c r="D5" i="39"/>
  <c r="E23" i="37"/>
  <c r="I8" i="39" s="1"/>
  <c r="D8" i="39"/>
  <c r="C42" i="37"/>
  <c r="R18" i="38"/>
  <c r="I54" i="37"/>
  <c r="H54" i="37"/>
  <c r="G54" i="37"/>
  <c r="R20" i="38"/>
  <c r="R24" i="38"/>
  <c r="F10" i="37"/>
  <c r="F9" i="37"/>
  <c r="K9" i="37" s="1"/>
  <c r="H47" i="37" s="1"/>
  <c r="F11" i="37"/>
  <c r="K11" i="37" s="1"/>
  <c r="H55" i="37" s="1"/>
  <c r="I16" i="39" s="1"/>
  <c r="L18" i="37"/>
  <c r="C19" i="37"/>
  <c r="I65" i="37"/>
  <c r="G65" i="37"/>
  <c r="I28" i="37"/>
  <c r="I31" i="37"/>
  <c r="I32" i="37"/>
  <c r="I33" i="37"/>
  <c r="I34" i="37"/>
  <c r="B42" i="37"/>
  <c r="R22" i="38"/>
  <c r="R21" i="38"/>
  <c r="R19" i="38"/>
  <c r="R16" i="38"/>
  <c r="H49" i="37"/>
  <c r="H46" i="37"/>
  <c r="G49" i="37"/>
  <c r="B52" i="37"/>
  <c r="B59" i="37"/>
  <c r="J65" i="37"/>
  <c r="B67" i="37"/>
  <c r="N25" i="38"/>
  <c r="I36" i="37"/>
  <c r="H66" i="37" s="1"/>
  <c r="K10" i="37"/>
  <c r="I51" i="37" s="1"/>
  <c r="F7" i="38"/>
  <c r="I38" i="37"/>
  <c r="I29" i="37"/>
  <c r="I30" i="37"/>
  <c r="I49" i="37"/>
  <c r="B57" i="37"/>
  <c r="H65" i="37"/>
  <c r="R25" i="38"/>
  <c r="Q25" i="36"/>
  <c r="N24" i="36"/>
  <c r="Q22" i="36"/>
  <c r="N22" i="36"/>
  <c r="Q21" i="36"/>
  <c r="N21" i="36"/>
  <c r="N20" i="36"/>
  <c r="Q19" i="36"/>
  <c r="N19" i="36"/>
  <c r="Q16" i="36"/>
  <c r="J8" i="36"/>
  <c r="H8" i="36"/>
  <c r="F8" i="36"/>
  <c r="J7" i="36"/>
  <c r="H7" i="36"/>
  <c r="J68" i="35"/>
  <c r="K64" i="35"/>
  <c r="E64" i="35"/>
  <c r="J60" i="35"/>
  <c r="J54" i="35"/>
  <c r="J53" i="35"/>
  <c r="I53" i="35"/>
  <c r="G53" i="35"/>
  <c r="J48" i="35"/>
  <c r="J44" i="35"/>
  <c r="J45" i="35" s="1"/>
  <c r="I44" i="35"/>
  <c r="I45" i="35" s="1"/>
  <c r="H44" i="35"/>
  <c r="H45" i="35" s="1"/>
  <c r="G44" i="35"/>
  <c r="G45" i="35" s="1"/>
  <c r="E42" i="35"/>
  <c r="K36" i="35"/>
  <c r="I35" i="35"/>
  <c r="Q24" i="36" s="1"/>
  <c r="K34" i="35"/>
  <c r="K33" i="35"/>
  <c r="K32" i="35"/>
  <c r="K31" i="35"/>
  <c r="H31" i="35"/>
  <c r="Q20" i="36" s="1"/>
  <c r="K30" i="35"/>
  <c r="K29" i="35"/>
  <c r="H29" i="35"/>
  <c r="Q18" i="36" s="1"/>
  <c r="K28" i="35"/>
  <c r="I25" i="35"/>
  <c r="I24" i="35"/>
  <c r="C20" i="35"/>
  <c r="B18" i="35"/>
  <c r="J7" i="35"/>
  <c r="F7" i="35"/>
  <c r="F5" i="41" s="1"/>
  <c r="G51" i="37" l="1"/>
  <c r="H51" i="37"/>
  <c r="J51" i="37"/>
  <c r="J52" i="37" s="1"/>
  <c r="B64" i="35"/>
  <c r="B56" i="35"/>
  <c r="B51" i="35"/>
  <c r="B49" i="35"/>
  <c r="B47" i="35"/>
  <c r="B66" i="35"/>
  <c r="B58" i="35"/>
  <c r="B55" i="35"/>
  <c r="B50" i="35"/>
  <c r="B48" i="35"/>
  <c r="D5" i="41"/>
  <c r="I58" i="37"/>
  <c r="C42" i="35"/>
  <c r="E23" i="35"/>
  <c r="I8" i="41" s="1"/>
  <c r="D8" i="41"/>
  <c r="I47" i="37"/>
  <c r="G47" i="37"/>
  <c r="G48" i="37" s="1"/>
  <c r="H14" i="39" s="1"/>
  <c r="G54" i="35"/>
  <c r="I54" i="35"/>
  <c r="H54" i="35"/>
  <c r="R20" i="36"/>
  <c r="R24" i="36"/>
  <c r="R18" i="36"/>
  <c r="R21" i="36"/>
  <c r="R22" i="36"/>
  <c r="J71" i="37"/>
  <c r="H71" i="37"/>
  <c r="I71" i="37"/>
  <c r="G71" i="37"/>
  <c r="I48" i="37"/>
  <c r="J14" i="39" s="1"/>
  <c r="E34" i="37"/>
  <c r="H64" i="37" s="1"/>
  <c r="J58" i="37"/>
  <c r="H58" i="37"/>
  <c r="Q23" i="38" s="1"/>
  <c r="R23" i="38" s="1"/>
  <c r="Q17" i="38"/>
  <c r="G66" i="37"/>
  <c r="I66" i="37"/>
  <c r="G58" i="37"/>
  <c r="I26" i="37"/>
  <c r="I64" i="37"/>
  <c r="I56" i="37"/>
  <c r="G56" i="37"/>
  <c r="G55" i="37"/>
  <c r="H16" i="39" s="1"/>
  <c r="H56" i="37"/>
  <c r="I55" i="37"/>
  <c r="J16" i="39" s="1"/>
  <c r="H50" i="37"/>
  <c r="I50" i="37"/>
  <c r="G50" i="37"/>
  <c r="J55" i="37"/>
  <c r="H48" i="37"/>
  <c r="L18" i="35"/>
  <c r="B59" i="35"/>
  <c r="B57" i="35"/>
  <c r="B52" i="35"/>
  <c r="B42" i="35"/>
  <c r="I34" i="35"/>
  <c r="I33" i="35"/>
  <c r="I32" i="35"/>
  <c r="I31" i="35"/>
  <c r="B67" i="35"/>
  <c r="N25" i="36"/>
  <c r="I36" i="35"/>
  <c r="H66" i="35" s="1"/>
  <c r="I29" i="35"/>
  <c r="I30" i="35"/>
  <c r="F9" i="35"/>
  <c r="F10" i="35"/>
  <c r="K10" i="35" s="1"/>
  <c r="F11" i="35"/>
  <c r="C19" i="35"/>
  <c r="J65" i="35"/>
  <c r="H65" i="35"/>
  <c r="I65" i="35"/>
  <c r="G65" i="35"/>
  <c r="I28" i="35"/>
  <c r="H46" i="35"/>
  <c r="R25" i="36"/>
  <c r="H49" i="35"/>
  <c r="R16" i="36"/>
  <c r="R19" i="36"/>
  <c r="K9" i="35"/>
  <c r="K11" i="35"/>
  <c r="H55" i="35" s="1"/>
  <c r="I16" i="41" s="1"/>
  <c r="F7" i="36"/>
  <c r="I38" i="35"/>
  <c r="G49" i="35"/>
  <c r="G46" i="35"/>
  <c r="I49" i="35"/>
  <c r="I46" i="35"/>
  <c r="J68" i="1"/>
  <c r="G53" i="1"/>
  <c r="J53" i="1"/>
  <c r="I53" i="1"/>
  <c r="J51" i="35" l="1"/>
  <c r="H51" i="35"/>
  <c r="G51" i="35"/>
  <c r="I51" i="35"/>
  <c r="G72" i="37"/>
  <c r="H20" i="39" s="1"/>
  <c r="H19" i="39"/>
  <c r="H72" i="37"/>
  <c r="I20" i="39" s="1"/>
  <c r="I19" i="39"/>
  <c r="I72" i="37"/>
  <c r="J20" i="39" s="1"/>
  <c r="J19" i="39"/>
  <c r="Q26" i="38"/>
  <c r="R26" i="38" s="1"/>
  <c r="G64" i="37"/>
  <c r="G67" i="37" s="1"/>
  <c r="H18" i="39" s="1"/>
  <c r="J64" i="37"/>
  <c r="G47" i="35"/>
  <c r="G48" i="35" s="1"/>
  <c r="H14" i="41" s="1"/>
  <c r="H47" i="35"/>
  <c r="H48" i="35" s="1"/>
  <c r="I14" i="41" s="1"/>
  <c r="I47" i="35"/>
  <c r="H52" i="37"/>
  <c r="I13" i="39" s="1"/>
  <c r="I14" i="39"/>
  <c r="J70" i="37"/>
  <c r="J72" i="37"/>
  <c r="I71" i="35"/>
  <c r="G71" i="35"/>
  <c r="J71" i="35"/>
  <c r="H71" i="35"/>
  <c r="J52" i="35"/>
  <c r="G58" i="35"/>
  <c r="I58" i="35"/>
  <c r="E34" i="35"/>
  <c r="I64" i="35" s="1"/>
  <c r="I26" i="35"/>
  <c r="H57" i="35" s="1"/>
  <c r="I52" i="37"/>
  <c r="J13" i="39" s="1"/>
  <c r="G52" i="37"/>
  <c r="H13" i="39" s="1"/>
  <c r="Q27" i="38"/>
  <c r="R27" i="38" s="1"/>
  <c r="H67" i="37"/>
  <c r="I18" i="39" s="1"/>
  <c r="I67" i="37"/>
  <c r="J18" i="39" s="1"/>
  <c r="R17" i="38"/>
  <c r="I57" i="37"/>
  <c r="I59" i="37" s="1"/>
  <c r="J15" i="39" s="1"/>
  <c r="G57" i="37"/>
  <c r="G59" i="37" s="1"/>
  <c r="H15" i="39" s="1"/>
  <c r="J57" i="37"/>
  <c r="H57" i="37"/>
  <c r="H59" i="37" s="1"/>
  <c r="I15" i="39" s="1"/>
  <c r="H56" i="35"/>
  <c r="I56" i="35"/>
  <c r="G56" i="35"/>
  <c r="J55" i="35"/>
  <c r="I50" i="35"/>
  <c r="G50" i="35"/>
  <c r="H50" i="35"/>
  <c r="G55" i="35"/>
  <c r="H16" i="41" s="1"/>
  <c r="G64" i="35"/>
  <c r="I48" i="35"/>
  <c r="J14" i="41" s="1"/>
  <c r="I55" i="35"/>
  <c r="J16" i="41" s="1"/>
  <c r="J58" i="35"/>
  <c r="H58" i="35"/>
  <c r="Q23" i="36" s="1"/>
  <c r="R23" i="36" s="1"/>
  <c r="I66" i="35"/>
  <c r="G66" i="35"/>
  <c r="J57" i="35"/>
  <c r="I25" i="1"/>
  <c r="I57" i="35" l="1"/>
  <c r="I59" i="35" s="1"/>
  <c r="J15" i="41" s="1"/>
  <c r="J75" i="37"/>
  <c r="J76" i="37" s="1"/>
  <c r="G57" i="35"/>
  <c r="G59" i="35" s="1"/>
  <c r="H15" i="41" s="1"/>
  <c r="I72" i="35"/>
  <c r="J20" i="41" s="1"/>
  <c r="J19" i="41"/>
  <c r="H72" i="35"/>
  <c r="I19" i="41"/>
  <c r="G72" i="35"/>
  <c r="H20" i="41" s="1"/>
  <c r="H19" i="41"/>
  <c r="H54" i="1"/>
  <c r="G54" i="1"/>
  <c r="I54" i="1"/>
  <c r="I77" i="37"/>
  <c r="J23" i="39" s="1"/>
  <c r="I78" i="37"/>
  <c r="H77" i="37"/>
  <c r="I23" i="39" s="1"/>
  <c r="H78" i="37"/>
  <c r="G77" i="37"/>
  <c r="H23" i="39" s="1"/>
  <c r="G78" i="37"/>
  <c r="G65" i="1"/>
  <c r="H65" i="1"/>
  <c r="I52" i="35"/>
  <c r="J13" i="41" s="1"/>
  <c r="H64" i="35"/>
  <c r="Q27" i="36" s="1"/>
  <c r="R27" i="36" s="1"/>
  <c r="I75" i="37"/>
  <c r="I76" i="37" s="1"/>
  <c r="H75" i="37"/>
  <c r="H76" i="37" s="1"/>
  <c r="J73" i="37"/>
  <c r="J74" i="37"/>
  <c r="J63" i="37"/>
  <c r="J77" i="37"/>
  <c r="G75" i="37"/>
  <c r="G76" i="37" s="1"/>
  <c r="Q30" i="38"/>
  <c r="J72" i="35"/>
  <c r="J70" i="35"/>
  <c r="J64" i="35"/>
  <c r="J63" i="35" s="1"/>
  <c r="G52" i="35"/>
  <c r="H13" i="41" s="1"/>
  <c r="I60" i="37"/>
  <c r="I61" i="37"/>
  <c r="H60" i="37"/>
  <c r="H61" i="37"/>
  <c r="G60" i="37"/>
  <c r="G61" i="37"/>
  <c r="R30" i="38"/>
  <c r="S17" i="38" s="1"/>
  <c r="I67" i="35"/>
  <c r="J18" i="41" s="1"/>
  <c r="Q17" i="36"/>
  <c r="H59" i="35"/>
  <c r="I15" i="41" s="1"/>
  <c r="H52" i="35"/>
  <c r="I13" i="41" s="1"/>
  <c r="G67" i="35"/>
  <c r="H18" i="41" s="1"/>
  <c r="H67" i="35" l="1"/>
  <c r="I18" i="41" s="1"/>
  <c r="I20" i="41"/>
  <c r="Q26" i="36"/>
  <c r="R26" i="36" s="1"/>
  <c r="H78" i="35"/>
  <c r="H77" i="35"/>
  <c r="I23" i="41" s="1"/>
  <c r="G78" i="35"/>
  <c r="G77" i="35"/>
  <c r="H23" i="41" s="1"/>
  <c r="I78" i="35"/>
  <c r="I77" i="35"/>
  <c r="J23" i="41" s="1"/>
  <c r="H75" i="35"/>
  <c r="H76" i="35" s="1"/>
  <c r="G75" i="35"/>
  <c r="G76" i="35" s="1"/>
  <c r="J77" i="35"/>
  <c r="J75" i="35"/>
  <c r="J76" i="35" s="1"/>
  <c r="J73" i="35"/>
  <c r="J74" i="35"/>
  <c r="I75" i="35"/>
  <c r="I76" i="35" s="1"/>
  <c r="H61" i="35"/>
  <c r="H68" i="35" s="1"/>
  <c r="G68" i="37"/>
  <c r="G62" i="37"/>
  <c r="G63" i="37"/>
  <c r="I68" i="37"/>
  <c r="I62" i="37"/>
  <c r="I63" i="37"/>
  <c r="S27" i="38"/>
  <c r="S18" i="38"/>
  <c r="S20" i="38"/>
  <c r="S25" i="38"/>
  <c r="S16" i="38"/>
  <c r="S22" i="38"/>
  <c r="S24" i="38"/>
  <c r="S21" i="38"/>
  <c r="S19" i="38"/>
  <c r="S23" i="38"/>
  <c r="S26" i="38"/>
  <c r="H63" i="37"/>
  <c r="H68" i="37"/>
  <c r="H69" i="37" s="1"/>
  <c r="H70" i="37" s="1"/>
  <c r="I22" i="39" s="1"/>
  <c r="H62" i="37"/>
  <c r="R17" i="36"/>
  <c r="Q30" i="36"/>
  <c r="I60" i="35"/>
  <c r="H62" i="35"/>
  <c r="H60" i="35"/>
  <c r="G60" i="35"/>
  <c r="G61" i="35"/>
  <c r="I61" i="35"/>
  <c r="I35" i="1"/>
  <c r="H74" i="35" l="1"/>
  <c r="I17" i="41"/>
  <c r="I74" i="37"/>
  <c r="J17" i="39"/>
  <c r="H74" i="37"/>
  <c r="I17" i="39"/>
  <c r="G74" i="37"/>
  <c r="H17" i="39"/>
  <c r="H73" i="37"/>
  <c r="I21" i="39" s="1"/>
  <c r="H63" i="35"/>
  <c r="I69" i="37"/>
  <c r="G69" i="37"/>
  <c r="G63" i="35"/>
  <c r="G68" i="35"/>
  <c r="G62" i="35"/>
  <c r="H69" i="35"/>
  <c r="R30" i="36"/>
  <c r="S17" i="36" s="1"/>
  <c r="I63" i="35"/>
  <c r="I68" i="35"/>
  <c r="I62" i="35"/>
  <c r="J8" i="31"/>
  <c r="H8" i="31"/>
  <c r="F8" i="31"/>
  <c r="G74" i="35" l="1"/>
  <c r="H17" i="41"/>
  <c r="I74" i="35"/>
  <c r="J17" i="41"/>
  <c r="G73" i="37"/>
  <c r="H21" i="39" s="1"/>
  <c r="G70" i="37"/>
  <c r="H22" i="39" s="1"/>
  <c r="I73" i="37"/>
  <c r="J21" i="39" s="1"/>
  <c r="I70" i="37"/>
  <c r="J22" i="39" s="1"/>
  <c r="H70" i="35"/>
  <c r="I22" i="41" s="1"/>
  <c r="H73" i="35"/>
  <c r="I21" i="41" s="1"/>
  <c r="I69" i="35"/>
  <c r="S27" i="36"/>
  <c r="S20" i="36"/>
  <c r="S18" i="36"/>
  <c r="S21" i="36"/>
  <c r="S22" i="36"/>
  <c r="S24" i="36"/>
  <c r="S19" i="36"/>
  <c r="S16" i="36"/>
  <c r="S23" i="36"/>
  <c r="S25" i="36"/>
  <c r="S26" i="36"/>
  <c r="G69" i="35"/>
  <c r="J7" i="31"/>
  <c r="H7" i="31"/>
  <c r="N21" i="31"/>
  <c r="Q21" i="31"/>
  <c r="G73" i="35" l="1"/>
  <c r="H21" i="41" s="1"/>
  <c r="G70" i="35"/>
  <c r="H22" i="41" s="1"/>
  <c r="I73" i="35"/>
  <c r="J21" i="41" s="1"/>
  <c r="I70" i="35"/>
  <c r="J22" i="41" s="1"/>
  <c r="B18" i="1"/>
  <c r="D4" i="40" s="1"/>
  <c r="J60" i="1" l="1"/>
  <c r="Q18" i="31"/>
  <c r="E23" i="1" l="1"/>
  <c r="I8" i="40" s="1"/>
  <c r="D8" i="40"/>
  <c r="F7" i="31"/>
  <c r="I38" i="1"/>
  <c r="J48" i="1" l="1"/>
  <c r="J54" i="1"/>
  <c r="Q25" i="31"/>
  <c r="N24" i="31"/>
  <c r="Q22" i="31"/>
  <c r="N22" i="31"/>
  <c r="N20" i="31"/>
  <c r="Q19" i="31"/>
  <c r="N19" i="31"/>
  <c r="K3" i="38" l="1"/>
  <c r="G44" i="1"/>
  <c r="G45" i="1" s="1"/>
  <c r="G71" i="1" s="1"/>
  <c r="J44" i="1"/>
  <c r="J45" i="1" s="1"/>
  <c r="J71" i="1" s="1"/>
  <c r="I44" i="1"/>
  <c r="I45" i="1" s="1"/>
  <c r="H44" i="1"/>
  <c r="H45" i="1" s="1"/>
  <c r="H71" i="1" s="1"/>
  <c r="G72" i="1" l="1"/>
  <c r="H20" i="40" s="1"/>
  <c r="H19" i="40"/>
  <c r="H72" i="1"/>
  <c r="I20" i="40" s="1"/>
  <c r="I19" i="40"/>
  <c r="J72" i="1"/>
  <c r="J73" i="1" s="1"/>
  <c r="J70" i="1"/>
  <c r="I49" i="1"/>
  <c r="I71" i="1"/>
  <c r="G49" i="1"/>
  <c r="R21" i="31"/>
  <c r="H49" i="1"/>
  <c r="H46" i="1"/>
  <c r="G46" i="1"/>
  <c r="I46" i="1"/>
  <c r="J65" i="1"/>
  <c r="I65" i="1"/>
  <c r="R19" i="31"/>
  <c r="R18" i="31"/>
  <c r="R22" i="31"/>
  <c r="R25" i="31"/>
  <c r="R16" i="31"/>
  <c r="E75" i="1"/>
  <c r="Q26" i="31" l="1"/>
  <c r="R26" i="31" s="1"/>
  <c r="I72" i="1"/>
  <c r="J20" i="40" s="1"/>
  <c r="J19" i="40"/>
  <c r="Q20" i="31"/>
  <c r="R20" i="31" s="1"/>
  <c r="I24" i="1" l="1"/>
  <c r="L18" i="1"/>
  <c r="K36" i="1" l="1"/>
  <c r="Q24" i="31"/>
  <c r="R24" i="31" s="1"/>
  <c r="K31" i="1"/>
  <c r="K33" i="1" l="1"/>
  <c r="K34" i="1"/>
  <c r="E42" i="1"/>
  <c r="F7" i="1"/>
  <c r="F5" i="40" s="1"/>
  <c r="J7" i="1"/>
  <c r="K28" i="1"/>
  <c r="K29" i="1"/>
  <c r="K30" i="1"/>
  <c r="K32" i="1"/>
  <c r="D5" i="40" l="1"/>
  <c r="B64" i="1"/>
  <c r="B48" i="1"/>
  <c r="B50" i="1"/>
  <c r="B58" i="1"/>
  <c r="B55" i="1"/>
  <c r="B66" i="1"/>
  <c r="N25" i="31" s="1"/>
  <c r="B47" i="1"/>
  <c r="B49" i="1"/>
  <c r="B51" i="1"/>
  <c r="B56" i="1"/>
  <c r="B57" i="1"/>
  <c r="B67" i="1"/>
  <c r="B59" i="1"/>
  <c r="B52" i="1"/>
  <c r="I31" i="1"/>
  <c r="C42" i="1"/>
  <c r="I33" i="1"/>
  <c r="F11" i="1"/>
  <c r="K11" i="1" s="1"/>
  <c r="H55" i="1" s="1"/>
  <c r="I16" i="40" s="1"/>
  <c r="I29" i="1"/>
  <c r="I28" i="1"/>
  <c r="I36" i="1"/>
  <c r="H66" i="1" s="1"/>
  <c r="G66" i="1" s="1"/>
  <c r="I32" i="1"/>
  <c r="I30" i="1"/>
  <c r="I34" i="1"/>
  <c r="F9" i="1"/>
  <c r="K9" i="1" s="1"/>
  <c r="F10" i="1"/>
  <c r="K10" i="1" s="1"/>
  <c r="B42" i="1"/>
  <c r="I51" i="1" l="1"/>
  <c r="H51" i="1"/>
  <c r="G51" i="1"/>
  <c r="J51" i="1"/>
  <c r="G47" i="1"/>
  <c r="G48" i="1" s="1"/>
  <c r="H14" i="40" s="1"/>
  <c r="I47" i="1"/>
  <c r="I48" i="1" s="1"/>
  <c r="J14" i="40" s="1"/>
  <c r="H47" i="1"/>
  <c r="H48" i="1" s="1"/>
  <c r="I14" i="40" s="1"/>
  <c r="H58" i="1"/>
  <c r="Q23" i="31" s="1"/>
  <c r="R23" i="31" s="1"/>
  <c r="G58" i="1"/>
  <c r="Q17" i="31"/>
  <c r="R17" i="31" s="1"/>
  <c r="G55" i="1"/>
  <c r="H16" i="40" s="1"/>
  <c r="J52" i="1"/>
  <c r="I58" i="1"/>
  <c r="J58" i="1"/>
  <c r="I66" i="1"/>
  <c r="H56" i="1"/>
  <c r="J55" i="1"/>
  <c r="I55" i="1"/>
  <c r="J16" i="40" s="1"/>
  <c r="E34" i="1"/>
  <c r="G64" i="1" s="1"/>
  <c r="I26" i="1"/>
  <c r="I50" i="1"/>
  <c r="H50" i="1"/>
  <c r="G50" i="1"/>
  <c r="I56" i="1"/>
  <c r="G56" i="1"/>
  <c r="J74" i="1" l="1"/>
  <c r="H57" i="1"/>
  <c r="H59" i="1" s="1"/>
  <c r="I15" i="40" s="1"/>
  <c r="G57" i="1"/>
  <c r="G59" i="1" s="1"/>
  <c r="H15" i="40" s="1"/>
  <c r="H64" i="1"/>
  <c r="J57" i="1"/>
  <c r="I57" i="1"/>
  <c r="I59" i="1" s="1"/>
  <c r="J15" i="40" s="1"/>
  <c r="H52" i="1"/>
  <c r="I13" i="40" s="1"/>
  <c r="I52" i="1"/>
  <c r="J13" i="40" s="1"/>
  <c r="G52" i="1"/>
  <c r="H13" i="40" s="1"/>
  <c r="G67" i="1"/>
  <c r="H18" i="40" s="1"/>
  <c r="I64" i="1"/>
  <c r="J64" i="1"/>
  <c r="J77" i="1" s="1"/>
  <c r="G78" i="1" l="1"/>
  <c r="G77" i="1"/>
  <c r="H23" i="40" s="1"/>
  <c r="I78" i="1"/>
  <c r="I77" i="1"/>
  <c r="J23" i="40" s="1"/>
  <c r="H78" i="1"/>
  <c r="H77" i="1"/>
  <c r="I23" i="40" s="1"/>
  <c r="G61" i="1"/>
  <c r="G68" i="1" s="1"/>
  <c r="G69" i="1" s="1"/>
  <c r="I67" i="1"/>
  <c r="J18" i="40" s="1"/>
  <c r="H67" i="1"/>
  <c r="I18" i="40" s="1"/>
  <c r="H75" i="1"/>
  <c r="H76" i="1" s="1"/>
  <c r="I60" i="1"/>
  <c r="G60" i="1"/>
  <c r="H60" i="1"/>
  <c r="H61" i="1"/>
  <c r="G75" i="1"/>
  <c r="G76" i="1" s="1"/>
  <c r="I75" i="1"/>
  <c r="I76" i="1" s="1"/>
  <c r="J63" i="1"/>
  <c r="J75" i="1"/>
  <c r="J76" i="1" s="1"/>
  <c r="I61" i="1"/>
  <c r="Q27" i="31"/>
  <c r="H68" i="1" l="1"/>
  <c r="H69" i="1" s="1"/>
  <c r="G70" i="1"/>
  <c r="H22" i="40" s="1"/>
  <c r="G73" i="1"/>
  <c r="H21" i="40" s="1"/>
  <c r="I68" i="1"/>
  <c r="G62" i="1"/>
  <c r="H62" i="1"/>
  <c r="R27" i="31"/>
  <c r="R30" i="31" s="1"/>
  <c r="S27" i="31" s="1"/>
  <c r="Q30" i="31"/>
  <c r="H63" i="1"/>
  <c r="G63" i="1"/>
  <c r="G74" i="1" l="1"/>
  <c r="H17" i="40"/>
  <c r="H74" i="1"/>
  <c r="I17" i="40"/>
  <c r="H73" i="1"/>
  <c r="I21" i="40" s="1"/>
  <c r="H70" i="1"/>
  <c r="I22" i="40" s="1"/>
  <c r="I62" i="1"/>
  <c r="S16" i="31"/>
  <c r="S23" i="31"/>
  <c r="S22" i="31"/>
  <c r="S18" i="31"/>
  <c r="S25" i="31"/>
  <c r="S26" i="31"/>
  <c r="S17" i="31"/>
  <c r="S24" i="31"/>
  <c r="S19" i="31"/>
  <c r="S20" i="31"/>
  <c r="S21" i="31"/>
  <c r="I63" i="1"/>
  <c r="I74" i="1" l="1"/>
  <c r="J17" i="40"/>
  <c r="I69" i="1"/>
  <c r="I73" i="1" l="1"/>
  <c r="J21" i="40" s="1"/>
  <c r="I70" i="1"/>
  <c r="J22" i="40" s="1"/>
</calcChain>
</file>

<file path=xl/comments1.xml><?xml version="1.0" encoding="utf-8"?>
<comments xmlns="http://schemas.openxmlformats.org/spreadsheetml/2006/main">
  <authors>
    <author>Segger, Volker (LEL)</author>
    <author>Schabel, Katrin (LEL)</author>
  </authors>
  <commentList>
    <comment ref="I10" authorId="0">
      <text>
        <r>
          <rPr>
            <b/>
            <sz val="9"/>
            <color indexed="81"/>
            <rFont val="Tahoma"/>
            <family val="2"/>
          </rPr>
          <t>Entspricht der maximalen AFP- Premiumförderung für tiergerechtes Bauen</t>
        </r>
      </text>
    </comment>
    <comment ref="B19" authorId="1">
      <text>
        <r>
          <rPr>
            <b/>
            <sz val="8"/>
            <color indexed="81"/>
            <rFont val="Tahoma"/>
            <family val="2"/>
          </rPr>
          <t xml:space="preserve">Die Vermarktungsform hat außer auf Preis und Arbeitszeit Einfluss auf die Kosten für Sortierung, Verpackung/Vermarktung
</t>
        </r>
      </text>
    </comment>
    <comment ref="H19" authorId="1">
      <text>
        <r>
          <rPr>
            <sz val="8"/>
            <color indexed="81"/>
            <rFont val="Tahoma"/>
            <family val="2"/>
          </rPr>
          <t xml:space="preserve">ohne Arbeitszeit
</t>
        </r>
      </text>
    </comment>
    <comment ref="J19" authorId="1">
      <text>
        <r>
          <rPr>
            <sz val="8"/>
            <color indexed="81"/>
            <rFont val="Tahoma"/>
            <family val="2"/>
          </rPr>
          <t xml:space="preserve">Für Sortieren, Kontrollieren, Verpacken, Verkaufen, Kommunikationspolitik je nach Vermarktungsweg
</t>
        </r>
      </text>
    </comment>
    <comment ref="B28" authorId="1">
      <text>
        <r>
          <rPr>
            <b/>
            <sz val="8"/>
            <color indexed="81"/>
            <rFont val="Tahoma"/>
            <family val="2"/>
          </rPr>
          <t xml:space="preserve">Bei entsprechend längerer Legeperiode ist mit einer absinkenden Legeleistung zu kalkulieren.
</t>
        </r>
      </text>
    </comment>
    <comment ref="E33" authorId="1">
      <text>
        <r>
          <rPr>
            <sz val="10"/>
            <color indexed="81"/>
            <rFont val="Tahoma"/>
            <family val="2"/>
          </rPr>
          <t>60-90 € je nach Tierplätzen und Bauweise</t>
        </r>
        <r>
          <rPr>
            <sz val="8"/>
            <color indexed="81"/>
            <rFont val="Tahoma"/>
            <family val="2"/>
          </rPr>
          <t xml:space="preserve">
</t>
        </r>
      </text>
    </comment>
    <comment ref="I37" authorId="1">
      <text>
        <r>
          <rPr>
            <b/>
            <sz val="8"/>
            <color indexed="81"/>
            <rFont val="Tahoma"/>
            <family val="2"/>
          </rPr>
          <t>bei 6.000 Plätzen 35 - 38 AKh
bei 3.000 Tieren ca 42 - 45 AKh</t>
        </r>
      </text>
    </comment>
  </commentList>
</comments>
</file>

<file path=xl/comments2.xml><?xml version="1.0" encoding="utf-8"?>
<comments xmlns="http://schemas.openxmlformats.org/spreadsheetml/2006/main">
  <authors>
    <author>Segger, Volker (LEL)</author>
    <author>Schabel, Katrin (LEL)</author>
  </authors>
  <commentList>
    <comment ref="I10" authorId="0">
      <text>
        <r>
          <rPr>
            <b/>
            <sz val="9"/>
            <color indexed="81"/>
            <rFont val="Tahoma"/>
            <family val="2"/>
          </rPr>
          <t>Entspricht der maximalen AFP- Premiumförderung für tiergerechtes Bauen</t>
        </r>
      </text>
    </comment>
    <comment ref="B19" authorId="1">
      <text>
        <r>
          <rPr>
            <b/>
            <sz val="8"/>
            <color indexed="81"/>
            <rFont val="Tahoma"/>
            <family val="2"/>
          </rPr>
          <t xml:space="preserve">Die Vermarktungsform hat außer auf Preis und Arbeitszeit Einfluss auf die Kosten für Sortierung, Verpackung/Vermarktung
</t>
        </r>
      </text>
    </comment>
    <comment ref="H19" authorId="1">
      <text>
        <r>
          <rPr>
            <sz val="8"/>
            <color indexed="81"/>
            <rFont val="Tahoma"/>
            <family val="2"/>
          </rPr>
          <t xml:space="preserve">ohne Arbeitszeit
</t>
        </r>
      </text>
    </comment>
    <comment ref="J19" authorId="1">
      <text>
        <r>
          <rPr>
            <sz val="8"/>
            <color indexed="81"/>
            <rFont val="Tahoma"/>
            <family val="2"/>
          </rPr>
          <t>Für Sortieren, Kontrollieren, Verpacken, Verkaufen, Kommunikationspolitik je nach Vermarktungsweg</t>
        </r>
      </text>
    </comment>
    <comment ref="B28" authorId="1">
      <text>
        <r>
          <rPr>
            <b/>
            <sz val="8"/>
            <color indexed="81"/>
            <rFont val="Tahoma"/>
            <family val="2"/>
          </rPr>
          <t xml:space="preserve">Bei entsprechend längerer Legeperiode ist mit einer absinkenden Legeleistung zu kalkulieren.
</t>
        </r>
      </text>
    </comment>
    <comment ref="E33" authorId="1">
      <text>
        <r>
          <rPr>
            <b/>
            <sz val="8"/>
            <color indexed="81"/>
            <rFont val="Tahoma"/>
            <family val="2"/>
          </rPr>
          <t xml:space="preserve">80-110 € je nach Tierplätzen und Bauweise bei bis zu 3.000 Tieren
</t>
        </r>
        <r>
          <rPr>
            <sz val="8"/>
            <color indexed="81"/>
            <rFont val="Tahoma"/>
            <family val="2"/>
          </rPr>
          <t xml:space="preserve">
</t>
        </r>
      </text>
    </comment>
    <comment ref="I37" authorId="1">
      <text>
        <r>
          <rPr>
            <b/>
            <sz val="8"/>
            <color indexed="81"/>
            <rFont val="Tahoma"/>
            <family val="2"/>
          </rPr>
          <t>bei 6.000 Plätzen 35 - 38 AKh. Bei 3.000 Plätzen ca. 42 - 45 AKh</t>
        </r>
      </text>
    </comment>
  </commentList>
</comments>
</file>

<file path=xl/comments3.xml><?xml version="1.0" encoding="utf-8"?>
<comments xmlns="http://schemas.openxmlformats.org/spreadsheetml/2006/main">
  <authors>
    <author>Segger, Volker (LEL)</author>
    <author>Schabel, Katrin (LEL)</author>
  </authors>
  <commentList>
    <comment ref="I10" authorId="0">
      <text>
        <r>
          <rPr>
            <b/>
            <sz val="9"/>
            <color indexed="81"/>
            <rFont val="Tahoma"/>
            <family val="2"/>
          </rPr>
          <t>Entspricht der maximalen AFP- Premiumförderung für tiergerechtes Bauen</t>
        </r>
      </text>
    </comment>
    <comment ref="B19" authorId="1">
      <text>
        <r>
          <rPr>
            <b/>
            <sz val="8"/>
            <color indexed="81"/>
            <rFont val="Tahoma"/>
            <family val="2"/>
          </rPr>
          <t xml:space="preserve">Die Vermarktungsform hat außer auf Preis und Arbeitszeit Einfluss auf die Kosten für Sortierung, Verpackung/Vermarktung
</t>
        </r>
      </text>
    </comment>
    <comment ref="H19" authorId="1">
      <text>
        <r>
          <rPr>
            <sz val="8"/>
            <color indexed="81"/>
            <rFont val="Tahoma"/>
            <family val="2"/>
          </rPr>
          <t xml:space="preserve">ohne Arbeitszeit
</t>
        </r>
      </text>
    </comment>
    <comment ref="J19" authorId="1">
      <text>
        <r>
          <rPr>
            <sz val="8"/>
            <color indexed="81"/>
            <rFont val="Tahoma"/>
            <family val="2"/>
          </rPr>
          <t>Für Sortieren, Kontrollieren, Verpacken, Verkaufen, Kommunikationspolitik je nach Vermarktungsweg</t>
        </r>
      </text>
    </comment>
    <comment ref="B28" authorId="1">
      <text>
        <r>
          <rPr>
            <b/>
            <sz val="8"/>
            <color indexed="81"/>
            <rFont val="Tahoma"/>
            <family val="2"/>
          </rPr>
          <t xml:space="preserve">Bei entsprechend längerer Legeperiode ist mit einer absinkenden Legeleistung zu kalkulieren.
</t>
        </r>
      </text>
    </comment>
    <comment ref="E33" authorId="1">
      <text>
        <r>
          <rPr>
            <b/>
            <sz val="8"/>
            <color indexed="81"/>
            <rFont val="Tahoma"/>
            <family val="2"/>
          </rPr>
          <t xml:space="preserve">Mobilstall 90 
bis zu 150 €, 
</t>
        </r>
        <r>
          <rPr>
            <sz val="8"/>
            <color indexed="81"/>
            <rFont val="Tahoma"/>
            <family val="2"/>
          </rPr>
          <t xml:space="preserve">
</t>
        </r>
      </text>
    </comment>
    <comment ref="I37" authorId="1">
      <text>
        <r>
          <rPr>
            <b/>
            <sz val="8"/>
            <color indexed="81"/>
            <rFont val="Tahoma"/>
            <family val="2"/>
          </rPr>
          <t>bei 6.000 Plätzen 35.-.38 AKh. Bei 3.000 Plätzen ca. 42 - 45 AKh</t>
        </r>
      </text>
    </comment>
  </commentList>
</comments>
</file>

<file path=xl/sharedStrings.xml><?xml version="1.0" encoding="utf-8"?>
<sst xmlns="http://schemas.openxmlformats.org/spreadsheetml/2006/main" count="1005" uniqueCount="354">
  <si>
    <t>Faktor Mwst.</t>
  </si>
  <si>
    <t>%</t>
  </si>
  <si>
    <t xml:space="preserve">Lohnansatz / Std. </t>
  </si>
  <si>
    <t>davon</t>
  </si>
  <si>
    <t>Jahre</t>
  </si>
  <si>
    <t>dt</t>
  </si>
  <si>
    <t>Std.</t>
  </si>
  <si>
    <t>€/St.</t>
  </si>
  <si>
    <t>€/dt</t>
  </si>
  <si>
    <t>€</t>
  </si>
  <si>
    <t>Kapitalverzinsung</t>
  </si>
  <si>
    <t xml:space="preserve">Datum: </t>
  </si>
  <si>
    <t>Beispiel</t>
  </si>
  <si>
    <t>Futter</t>
  </si>
  <si>
    <t>Stall</t>
  </si>
  <si>
    <t>Arbeit</t>
  </si>
  <si>
    <t>Summe</t>
  </si>
  <si>
    <t>Arbeitseinkommen</t>
  </si>
  <si>
    <t>netto</t>
  </si>
  <si>
    <t>Zuschuss bei Investitionsförderung</t>
  </si>
  <si>
    <t>Mwst. Regelsatz</t>
  </si>
  <si>
    <t xml:space="preserve">nein </t>
  </si>
  <si>
    <t xml:space="preserve">ja </t>
  </si>
  <si>
    <t xml:space="preserve">Name: </t>
  </si>
  <si>
    <t xml:space="preserve">  Preise : </t>
  </si>
  <si>
    <t xml:space="preserve">Pauschalierung </t>
  </si>
  <si>
    <t xml:space="preserve">Regelbesteuerung </t>
  </si>
  <si>
    <t>x</t>
  </si>
  <si>
    <t>Ergebnis bei:</t>
  </si>
  <si>
    <t>Zinssatz für gebundenes Gebäudekapital ( i )</t>
  </si>
  <si>
    <t>N</t>
  </si>
  <si>
    <t>Nährstoffpreise</t>
  </si>
  <si>
    <t>m³</t>
  </si>
  <si>
    <t>Zum Programm</t>
  </si>
  <si>
    <t>A. Grundlagen</t>
  </si>
  <si>
    <t>Kurztabelle und Grafiken zum Vergleich Aufzucht und Mast</t>
  </si>
  <si>
    <t>gelbe Felder sind Eingabefelder !</t>
  </si>
  <si>
    <t xml:space="preserve">       Bezügl. der Mwst. soll gerechnet werden:</t>
  </si>
  <si>
    <t>Wertansätze für Wirtschaftsdünger (sollten individuell angepasst werden)</t>
  </si>
  <si>
    <t>Anforderungen zur Förderung über AFP und FAKT</t>
  </si>
  <si>
    <t>Förderung</t>
  </si>
  <si>
    <t>Grundlagen der ökologischen Schweinehaltung</t>
  </si>
  <si>
    <t>Haltung</t>
  </si>
  <si>
    <t>Nach den EU-Rechtsvorschriften für den ökologischen Landbau ist für Ferkel eine Mindestsäugezeit von 40 Tagen vorgeschrieben. Dies führt im Vergleich zur konventionellen Haltung zu einer höheren Anzahl (35 bis 40 Prozent der produktiven Sauen) notwendiger Abferkelbuchten gegenüber der konventionell üblichen Säugezeit von 21 bis 28 Tagen. Um diese zusätzlichen Kosten zu reduzieren, wird häufig das Gruppensäugeverfahren angewendet. Nach zehn bis 14 Tagen werden mehrere Sauen mit ihren Ferkeln in einer Gruppe zusammengefasst. Die Ferkel erhalten eine nur für sie zugängliche Ferkelbucht. </t>
  </si>
  <si>
    <t>Fütterung</t>
  </si>
  <si>
    <t>Das Futter muss aus ökologischer Erzeugung stammen. Ein Zukauf konventioneller, gentechnikfreier Eiweißfutterkomponenten entsprechend der EU-Rechtsvorschriften für den ökologischen Landbau ist bis zum 31.12.2017 erlaubt. Diese Komponenten dürfen mit einem Anteil von maximal 5 Prozent beigemischt werden.  </t>
  </si>
  <si>
    <t>Tierzukauf</t>
  </si>
  <si>
    <t>Seit dem 25. August 2003 müssen ökologische Mastschweine vor der Inverkehrbringung über einen Zeitraum von mindestens 180 Tagen (sechs Monate) ökologisch gehalten und gefüttert werden, so dass in der Praxis nur noch Ferkel von ökologischen Sauenhaltern für die Mast in Frage kommen. Da eine Versorgung mit Ökoferkeln nicht immer vollständig gewährleistet ist, muss sich der Mäster frühzeitig um geeignete Ferkel bemühen bzw. langfristige Lieferbeziehungen aufbauen. </t>
  </si>
  <si>
    <t>Der Zukauf konventioneller, weiblicher Jungtiere zur Zucht (zum Beispiel Jungsauen, Zuchtläufer) ist erlaubt, sofern die Tiere nach dem Absetzen gemäß den Vorschriften der Verordnung gehalten werden. Der alljährliche Anteil zugekaufter, weiblicher Zuchttiere darf 20 Prozent des Sauenbestandes nicht überschreiten. Bei Rassenumstellung, Bestandsvergrößerung und Bestandserneuerung können nach Genehmigung der Kontrollstelle die Prozentsätze bis auf 40 Prozent angehoben werden. Ein Zukauf konventioneller Zuchteber ist erlaubt, da bei Zuchtschweinen das Angebot an ökologisch erzeugten Tieren noch gering ist.</t>
  </si>
  <si>
    <t>Tiergesundheit</t>
  </si>
  <si>
    <t>Ein präventiver Einsatz chemisch-synthetischer (allopathischer) Arzneimittel (zum Beispiel Antibiotika) ist nicht erlaubt. Fütterungsantibiotika sowie Leistungs- und Wachstumsförderer dürfen nicht eingesetzt werden. Der Einsatz von Antiparasitika und von Impfstoffen ist erlaubt</t>
  </si>
  <si>
    <t>Die Reinigung und Desinfektion ist nur mit den laut EU-Rechtsvorschriften für den ökologischen Landbau zugelassenen Mitteln erlaubt.</t>
  </si>
  <si>
    <t>Maximal 50 Prozent der Bodenfläche dürfen mit Spaltenboden versehen sein. Eine trockene, eingestreute Liegefläche muß vorhanden sein. Leere und niedertragende Sauen sind in Gruppen zu halten. Die Haltung von Ferkeln in Ferkelkäfigen oder Flatdecks sowie das systematische Abkneifen der Zähne und Kupieren der Schwänze sind nicht zulässig.</t>
  </si>
  <si>
    <t>Anforderungen nach den EU-Ökorichtlinien</t>
  </si>
  <si>
    <t>Quelle: Text-www.oekolandbau.de/erzeuger/umstellung/oeko-was-ist-anders/schweinehaltung/  (Aufruf 18.1.2016)</t>
  </si>
  <si>
    <t xml:space="preserve">    Energie, Wasser</t>
  </si>
  <si>
    <t xml:space="preserve">    Beratung, Kontrolle</t>
  </si>
  <si>
    <r>
      <t xml:space="preserve">               </t>
    </r>
    <r>
      <rPr>
        <b/>
        <sz val="22"/>
        <rFont val="Arial"/>
        <family val="2"/>
      </rPr>
      <t>VOKO ÖKO-SAU   Richtlinien</t>
    </r>
  </si>
  <si>
    <t>Tabelle 1: Mindeststall- und Mindestfreiflächen (m²/Tier) für Schweine-Anhang III VO (EG)889/2008</t>
  </si>
  <si>
    <r>
      <t>P</t>
    </r>
    <r>
      <rPr>
        <vertAlign val="subscript"/>
        <sz val="10"/>
        <rFont val="Arial"/>
        <family val="2"/>
      </rPr>
      <t>2</t>
    </r>
    <r>
      <rPr>
        <sz val="11"/>
        <rFont val="Arial"/>
        <family val="2"/>
      </rPr>
      <t>O</t>
    </r>
    <r>
      <rPr>
        <vertAlign val="subscript"/>
        <sz val="11"/>
        <rFont val="Arial"/>
        <family val="2"/>
      </rPr>
      <t>5</t>
    </r>
  </si>
  <si>
    <r>
      <t>K</t>
    </r>
    <r>
      <rPr>
        <vertAlign val="subscript"/>
        <sz val="12"/>
        <rFont val="Arial"/>
        <family val="2"/>
      </rPr>
      <t>2</t>
    </r>
    <r>
      <rPr>
        <sz val="12"/>
        <rFont val="Arial"/>
        <family val="2"/>
      </rPr>
      <t>O</t>
    </r>
  </si>
  <si>
    <t>nachhaltige Preise</t>
  </si>
  <si>
    <t>Zinsansatz Vieh- und Umlaufverm.</t>
  </si>
  <si>
    <t>(nach Stall-, Lager-, Ausbringverlusten)</t>
  </si>
  <si>
    <t>Kosten (inkl. Mwst.)</t>
  </si>
  <si>
    <t>Mwst.satz landwirtschaftliche Erzeugnisse</t>
  </si>
  <si>
    <t>Richtlinien</t>
  </si>
  <si>
    <t xml:space="preserve"> - mit oder ohne Investitionsförderung</t>
  </si>
  <si>
    <t>€/dt FM</t>
  </si>
  <si>
    <r>
      <rPr>
        <b/>
        <sz val="36"/>
        <rFont val="Arial"/>
        <family val="2"/>
      </rPr>
      <t xml:space="preserve">VOKO ÖKO-Legehenne  </t>
    </r>
    <r>
      <rPr>
        <sz val="28"/>
        <rFont val="Arial"/>
        <family val="2"/>
      </rPr>
      <t xml:space="preserve">                                             </t>
    </r>
    <r>
      <rPr>
        <sz val="20"/>
        <rFont val="Arial"/>
        <family val="2"/>
      </rPr>
      <t xml:space="preserve">    (Vollkosten der ökologischen Legehennenhaltung)</t>
    </r>
  </si>
  <si>
    <t xml:space="preserve"> - Kostendeckender Eierpreis</t>
  </si>
  <si>
    <t>Pachtansatz Auslauffläche</t>
  </si>
  <si>
    <t>€/ ha</t>
  </si>
  <si>
    <t>Mwst.satz Zukauffutter</t>
  </si>
  <si>
    <t>je 100 Hühner</t>
  </si>
  <si>
    <t>je Ei in Cent</t>
  </si>
  <si>
    <t>Zukaufstier</t>
  </si>
  <si>
    <t>Daten für Grafiken (s. Blatt Grafiken)</t>
  </si>
  <si>
    <t>Flächenkosten Auslauf</t>
  </si>
  <si>
    <t>Düngerwert je m³ (netto)</t>
  </si>
  <si>
    <t xml:space="preserve">    Wirtschaftsdüngerausbringung</t>
  </si>
  <si>
    <t xml:space="preserve">    Tierarzt, Medikamente</t>
  </si>
  <si>
    <t>Vermarktungsform</t>
  </si>
  <si>
    <t>rechnerisch bezogen auf 1 to Festmist</t>
  </si>
  <si>
    <t>Neubau. Vorgabe 6 Tiere je m²  begehbarere Fläche bzw 8,6 bei Volieren</t>
  </si>
  <si>
    <t>Preis Junghenne geimpft (netto)</t>
  </si>
  <si>
    <t>Alttiererlös (netto)</t>
  </si>
  <si>
    <t>Naturkost-Einzelhandel</t>
  </si>
  <si>
    <t>Großhandel</t>
  </si>
  <si>
    <t>An Packstelle</t>
  </si>
  <si>
    <t>lose</t>
  </si>
  <si>
    <t>Eier   M</t>
  </si>
  <si>
    <t>EUR/ 100St.</t>
  </si>
  <si>
    <t>gepackt</t>
  </si>
  <si>
    <t>Ami, Abruf April 2016</t>
  </si>
  <si>
    <t>Packstelle/GH (lose, unsortiert)</t>
  </si>
  <si>
    <t>Eierpreise Ami: Naturkost EH Eier M, lose Jan-März 2016 31-32 Cent, gepackt 34-35 ;;;Packstelle März 2016 M, lose 26 Cent// KTBL Faustzaheln Öl unsortiert Packstelle 16,5 sortiert vom Mobilstall 25 Cent</t>
  </si>
  <si>
    <t xml:space="preserve">    Versicherungen, TSK, Verluste</t>
  </si>
  <si>
    <t xml:space="preserve">    Einstreu, Pflege Auslauf</t>
  </si>
  <si>
    <t>Preis (Ø S-XL) (netto)</t>
  </si>
  <si>
    <t xml:space="preserve">    Sortierung, Verpackung </t>
  </si>
  <si>
    <t>Direktvermarktung (Kleinverp.)</t>
  </si>
  <si>
    <t>Durchgänge je Jahr</t>
  </si>
  <si>
    <t>Bei diesem Lohnansatz ist das kalk. Betriebszweigergebnis Null</t>
  </si>
  <si>
    <t>Bei diesem Zinssatz für gebundenes Gebäudekapital ist das kalk. Betriebszweigergebnis Null</t>
  </si>
  <si>
    <t>Stalltage bis Legebeginn</t>
  </si>
  <si>
    <t>Legeperiode in Monaten</t>
  </si>
  <si>
    <t>Tage</t>
  </si>
  <si>
    <t>Cent/Ei</t>
  </si>
  <si>
    <t>g</t>
  </si>
  <si>
    <t>Arbeitszeitbedarf der Produktion je 100 Plätze und Jahr</t>
  </si>
  <si>
    <t>Legetage (Legeperiode abzüglich Leertage und Stalltage bis Legebeginn)</t>
  </si>
  <si>
    <t>Eier</t>
  </si>
  <si>
    <t xml:space="preserve">Arbeitszeitbedarf der Vermarktung je 1000 Eier </t>
  </si>
  <si>
    <t>Vergl. Eier/Mast</t>
  </si>
  <si>
    <t>Legeleistung je Durchschnittshenne in %</t>
  </si>
  <si>
    <t>Hennenmist</t>
  </si>
  <si>
    <t>N (kg)</t>
  </si>
  <si>
    <r>
      <t xml:space="preserve"> P</t>
    </r>
    <r>
      <rPr>
        <vertAlign val="subscript"/>
        <sz val="10"/>
        <rFont val="Arial"/>
        <family val="2"/>
      </rPr>
      <t>2</t>
    </r>
    <r>
      <rPr>
        <sz val="11"/>
        <rFont val="Arial"/>
        <family val="2"/>
      </rPr>
      <t>O</t>
    </r>
    <r>
      <rPr>
        <vertAlign val="subscript"/>
        <sz val="11"/>
        <rFont val="Arial"/>
        <family val="2"/>
      </rPr>
      <t xml:space="preserve">5 </t>
    </r>
    <r>
      <rPr>
        <sz val="11"/>
        <rFont val="Arial"/>
        <family val="2"/>
      </rPr>
      <t>(kg)</t>
    </r>
  </si>
  <si>
    <r>
      <t>K</t>
    </r>
    <r>
      <rPr>
        <vertAlign val="subscript"/>
        <sz val="12"/>
        <rFont val="Arial"/>
        <family val="2"/>
      </rPr>
      <t>2</t>
    </r>
    <r>
      <rPr>
        <sz val="12"/>
        <rFont val="Arial"/>
        <family val="2"/>
      </rPr>
      <t>O (kg)</t>
    </r>
  </si>
  <si>
    <t>Tierverluste</t>
  </si>
  <si>
    <t>Neubaukosten je Platz (netto)</t>
  </si>
  <si>
    <t>qm</t>
  </si>
  <si>
    <t>Auslauf (min.4 qm) je Henne</t>
  </si>
  <si>
    <t>Akh</t>
  </si>
  <si>
    <t>Raufutter je Henne und Jahr (netto)</t>
  </si>
  <si>
    <t xml:space="preserve">                 davon Leerzeit</t>
  </si>
  <si>
    <t>Packstelle: Unsortierte Eier, Packstelle stellt Papphöcker, holt Eier am Hof ab</t>
  </si>
  <si>
    <t>bei hundert Hühnern bezogen auf die Anzahl der gelegeten Eier je Legeperiode</t>
  </si>
  <si>
    <t>Einzelhandel (Kleinverpackungen)</t>
  </si>
  <si>
    <t>Arbeitszeit Produktion je Durchgang plus Arbeitszeit Vermarktung der gelegten Eier je 100 Hennen</t>
  </si>
  <si>
    <t>Monate</t>
  </si>
  <si>
    <t>Knick- und Schmutzeier             Anteil</t>
  </si>
  <si>
    <t xml:space="preserve">Deckungsbeitrag </t>
  </si>
  <si>
    <t>je 100 Hennen und Durchgang</t>
  </si>
  <si>
    <t>je 100 Stallplätze und Jahr</t>
  </si>
  <si>
    <t>je Stunde</t>
  </si>
  <si>
    <r>
      <t xml:space="preserve">Erzeugungskosten je Ei
</t>
    </r>
    <r>
      <rPr>
        <sz val="12"/>
        <color indexed="8"/>
        <rFont val="Arial"/>
        <family val="2"/>
      </rPr>
      <t xml:space="preserve">(abz. Nebenleistungen) = notwendiger Eiererlös
 </t>
    </r>
  </si>
  <si>
    <t>Futterpreis</t>
  </si>
  <si>
    <t>Futterbedarf je Henne und Tag</t>
  </si>
  <si>
    <t>€/Platz</t>
  </si>
  <si>
    <t>kg</t>
  </si>
  <si>
    <t>ct/Ei</t>
  </si>
  <si>
    <t>Arbeitszeit in Minuten</t>
  </si>
  <si>
    <t>min./Ei</t>
  </si>
  <si>
    <t>Legeleistung: KTBL 14/15 S.721 96,4-83,7% im Schnitt 79,5 je Henne ( keine Tierverluste berücksichtigt)</t>
  </si>
  <si>
    <t>TSK</t>
  </si>
  <si>
    <t>Versicherung</t>
  </si>
  <si>
    <t>TKBes.</t>
  </si>
  <si>
    <t>KTBL W.rechner 2016 je 100 Tiere /a</t>
  </si>
  <si>
    <t>KTBL 2014/15 je 100 Tiere/a</t>
  </si>
  <si>
    <t>Preis €/dt(LEL)</t>
  </si>
  <si>
    <t>Einstreu dt</t>
  </si>
  <si>
    <t>Auslauf €/a</t>
  </si>
  <si>
    <r>
      <t>Vermarktungskosten</t>
    </r>
    <r>
      <rPr>
        <vertAlign val="superscript"/>
        <sz val="11"/>
        <rFont val="Arial"/>
        <family val="2"/>
      </rPr>
      <t>1)</t>
    </r>
    <r>
      <rPr>
        <sz val="11"/>
        <rFont val="Arial"/>
        <family val="2"/>
      </rPr>
      <t xml:space="preserve"> (netto)</t>
    </r>
  </si>
  <si>
    <t>je vermarktetem Ei (A-Ware)</t>
  </si>
  <si>
    <t>€/100 St.</t>
  </si>
  <si>
    <t>Packstelle</t>
  </si>
  <si>
    <t>Einzelhandel</t>
  </si>
  <si>
    <t>Direktvermarktung</t>
  </si>
  <si>
    <t>Junghenne: KTBL, Wirtschftlichkeitsrechner Online Zugriff am 25.4.2016 10,50 €, in BW teurer</t>
  </si>
  <si>
    <t xml:space="preserve"> - zur Deckung der Vollkosten (langfristig)</t>
  </si>
  <si>
    <t xml:space="preserve"> - zur Deckung der var.Kosten (kurzfristig)</t>
  </si>
  <si>
    <t>Eierpreise Agrar BW 6.5.15 ( Axel Hilckmann) Packstellenvermarktung ca. 18 Cent</t>
  </si>
  <si>
    <t>Anteil</t>
  </si>
  <si>
    <t>Preis je Ei in Cent (netto)</t>
  </si>
  <si>
    <t>Tierarzt und Versicherung</t>
  </si>
  <si>
    <r>
      <t xml:space="preserve">Weitere Infos zur Legehennenhaltung finden sie auch unter                                                                                                                                                                                                           </t>
    </r>
    <r>
      <rPr>
        <sz val="14"/>
        <rFont val="Arial"/>
        <family val="2"/>
      </rPr>
      <t>https://www.oekolandbau.de/erzeuger/tierhaltung/artspezifische-anforderungen/gefluegel/grundlagen-der-biogefluegelhaltung/</t>
    </r>
  </si>
  <si>
    <t xml:space="preserve"> - Eierpreise und Aufwendungen bei den unterschiedlichen Vermarktungsformen</t>
  </si>
  <si>
    <r>
      <t>Die</t>
    </r>
    <r>
      <rPr>
        <b/>
        <sz val="16"/>
        <rFont val="Arial"/>
        <family val="2"/>
      </rPr>
      <t xml:space="preserve"> Ergebnisstabelle</t>
    </r>
    <r>
      <rPr>
        <sz val="16"/>
        <rFont val="Arial"/>
        <family val="2"/>
      </rPr>
      <t xml:space="preserve"> bildet die wichtigsten ökonomischen Kriterien ab, wie z.B.</t>
    </r>
  </si>
  <si>
    <t>Nährstoffgehalt Wirtschaftsdünger</t>
  </si>
  <si>
    <r>
      <rPr>
        <b/>
        <sz val="10"/>
        <rFont val="Arial"/>
        <family val="2"/>
      </rPr>
      <t>durchschnittlicher Eierpreis</t>
    </r>
    <r>
      <rPr>
        <sz val="10"/>
        <rFont val="Arial"/>
        <family val="2"/>
      </rPr>
      <t xml:space="preserve"> bei obigen Vermarktungsanteilen</t>
    </r>
  </si>
  <si>
    <t xml:space="preserve">    variable Maschinenkosten</t>
  </si>
  <si>
    <t>ct/Ei bei Packstelle</t>
  </si>
  <si>
    <t>ct/Ei bei Einzelhandel</t>
  </si>
  <si>
    <t>ct/Ei bei Direktverm.</t>
  </si>
  <si>
    <t>Preis Packstelle: Auskunft von Fr. Amberger ( Die Biohenne) 19,1-19,4 cent je vermarktungsfähigem Ei im Schnitt</t>
  </si>
  <si>
    <r>
      <t xml:space="preserve">Wenn </t>
    </r>
    <r>
      <rPr>
        <b/>
        <sz val="14"/>
        <rFont val="Arial"/>
        <family val="2"/>
      </rPr>
      <t>JA</t>
    </r>
    <r>
      <rPr>
        <sz val="14"/>
        <rFont val="Arial"/>
        <family val="2"/>
      </rPr>
      <t>, dann</t>
    </r>
    <r>
      <rPr>
        <b/>
        <sz val="14"/>
        <rFont val="Arial"/>
        <family val="2"/>
      </rPr>
      <t xml:space="preserve"> x</t>
    </r>
    <r>
      <rPr>
        <sz val="14"/>
        <rFont val="Arial"/>
        <family val="2"/>
      </rPr>
      <t xml:space="preserve"> eintragen wenn nein dann</t>
    </r>
    <r>
      <rPr>
        <b/>
        <sz val="14"/>
        <rFont val="Arial"/>
        <family val="2"/>
      </rPr>
      <t xml:space="preserve"> x</t>
    </r>
    <r>
      <rPr>
        <sz val="14"/>
        <rFont val="Arial"/>
        <family val="2"/>
      </rPr>
      <t xml:space="preserve"> in gelben Feld löschen</t>
    </r>
  </si>
  <si>
    <t>Hühnerfutter gesamt abzüglich des nicht benötigten Futters aufgrund von Tierverlusten</t>
  </si>
  <si>
    <t>Stalltage bis Legebeginn nach Thiess ( LEL) 14-28 und KTBL s. 721 - hier sind die Stalltage bis Leegebeginn gleichgesetzt da von der gleichen Ursprungshenne ausgegangen wird</t>
  </si>
  <si>
    <t>je 100 Hennen und Durchg.</t>
  </si>
  <si>
    <t>Legehenne6.000</t>
  </si>
  <si>
    <t>Grafiken6.000</t>
  </si>
  <si>
    <t>Grafiken3.000</t>
  </si>
  <si>
    <t>LegehenneMobilstall</t>
  </si>
  <si>
    <t>GrafikenMobilstall</t>
  </si>
  <si>
    <t>Legehenne3.000</t>
  </si>
  <si>
    <t>Annahme ,0,18 € TKB je Stück, da Verluste durch Fuchs etc. nicht mehr beseitigt werden müssen wird nur die Hälfte angenommen</t>
  </si>
  <si>
    <t>Mobilsstallpreise (Köl RLP): DV20-50 ct( brutto); Wiederverk 26-32 ct (netto)</t>
  </si>
  <si>
    <t>Zum Inhaltsverzeichnis</t>
  </si>
  <si>
    <t>300 Hennen Mobilstall</t>
  </si>
  <si>
    <r>
      <t xml:space="preserve">               </t>
    </r>
    <r>
      <rPr>
        <b/>
        <sz val="22"/>
        <rFont val="Arial"/>
        <family val="2"/>
      </rPr>
      <t>VOKO ÖKO-Legehenne - 6.000 Hennen</t>
    </r>
  </si>
  <si>
    <r>
      <t xml:space="preserve">               </t>
    </r>
    <r>
      <rPr>
        <b/>
        <sz val="22"/>
        <rFont val="Arial"/>
        <family val="2"/>
      </rPr>
      <t xml:space="preserve">VOKO ÖKO-Legehenne - 3.000 Hennen </t>
    </r>
  </si>
  <si>
    <r>
      <t xml:space="preserve">               </t>
    </r>
    <r>
      <rPr>
        <b/>
        <sz val="22"/>
        <rFont val="Arial"/>
        <family val="2"/>
      </rPr>
      <t>VOKO ÖKO-Legehenne - 300 Hennen Mobilstall</t>
    </r>
  </si>
  <si>
    <t>Lohnansatz je 100 Stallplätze und Jahr</t>
  </si>
  <si>
    <r>
      <rPr>
        <b/>
        <sz val="14"/>
        <rFont val="Arial"/>
        <family val="2"/>
      </rPr>
      <t xml:space="preserve">Durchschittshenne </t>
    </r>
    <r>
      <rPr>
        <sz val="14"/>
        <rFont val="Arial"/>
        <family val="2"/>
      </rPr>
      <t xml:space="preserve">= Tierverluste während der Legeperiode sind nicht berücksichtigt berücksichtigt &lt;=&gt; </t>
    </r>
    <r>
      <rPr>
        <b/>
        <sz val="14"/>
        <rFont val="Arial"/>
        <family val="2"/>
      </rPr>
      <t>Anfangshenne</t>
    </r>
    <r>
      <rPr>
        <sz val="14"/>
        <rFont val="Arial"/>
        <family val="2"/>
      </rPr>
      <t xml:space="preserve"> = Tierverluste während der Legeperiode werden berücksichtigt</t>
    </r>
  </si>
  <si>
    <r>
      <rPr>
        <b/>
        <sz val="14"/>
        <rFont val="Arial"/>
        <family val="2"/>
      </rPr>
      <t>Arbeitszeit</t>
    </r>
    <r>
      <rPr>
        <sz val="14"/>
        <rFont val="Arial"/>
        <family val="2"/>
      </rPr>
      <t xml:space="preserve"> stark schwankend je nach Tierzahl gesamt</t>
    </r>
  </si>
  <si>
    <r>
      <rPr>
        <b/>
        <sz val="14"/>
        <rFont val="Arial"/>
        <family val="2"/>
      </rPr>
      <t>Durchgang je Jahr</t>
    </r>
    <r>
      <rPr>
        <sz val="14"/>
        <rFont val="Arial"/>
        <family val="2"/>
      </rPr>
      <t xml:space="preserve"> = abhängig von der </t>
    </r>
    <r>
      <rPr>
        <b/>
        <sz val="14"/>
        <rFont val="Arial"/>
        <family val="2"/>
      </rPr>
      <t>Legeperiode</t>
    </r>
    <r>
      <rPr>
        <sz val="14"/>
        <rFont val="Arial"/>
        <family val="2"/>
      </rPr>
      <t xml:space="preserve"> (diese umfasst auch die Leerzeit) kann individuelle angepasst werden</t>
    </r>
  </si>
  <si>
    <t>Arbeitszeit Produktion je Jahr plus Arbeitszeit der Vermarktung der tatsächlich gelegten Eier je 100 Hennen und Jahr</t>
  </si>
  <si>
    <t>Bei diesem Preis (Darstellung ist gerundet) ist das kalkulatorische Betriebzweigergebnis Null</t>
  </si>
  <si>
    <t>Bei diesem Preis ist der Deckungsbeitrag Null</t>
  </si>
  <si>
    <t>Direktvermarktung: Sortierung Kleinverpack., Vermarktug ab Hof, Markt, Automat etc.</t>
  </si>
  <si>
    <r>
      <t xml:space="preserve">In der </t>
    </r>
    <r>
      <rPr>
        <b/>
        <sz val="16"/>
        <rFont val="Arial"/>
        <family val="2"/>
      </rPr>
      <t>Berechnung</t>
    </r>
    <r>
      <rPr>
        <sz val="16"/>
        <rFont val="Arial"/>
        <family val="2"/>
      </rPr>
      <t xml:space="preserve"> können in allen gelben Feldern Grundannahmen individuell angepasst werden. Das sind u.a.</t>
    </r>
  </si>
  <si>
    <t xml:space="preserve"> - variable und feste Kosten</t>
  </si>
  <si>
    <t xml:space="preserve"> - Dauer der Legeperiode in Monaten</t>
  </si>
  <si>
    <t xml:space="preserve"> - Legeleistung in Prozent</t>
  </si>
  <si>
    <t xml:space="preserve"> - Pauschalierung der Umsatzsteuer oder Regelbesteuerung</t>
  </si>
  <si>
    <t>gelegte Eier je Legeperiode und Anfangshenne (Hennenverluste berücksichtigt)</t>
  </si>
  <si>
    <t>davon vermarktete Eier je Legeperiode und Henne</t>
  </si>
  <si>
    <t>Hennenfutter gesamt je 100 Hennen und Durchgang</t>
  </si>
  <si>
    <t>Arbeitszeitbedarf Produktion und Vermarktung je 100 Stallpl. und Jahr</t>
  </si>
  <si>
    <r>
      <t>Kalkulatorisches Betriebszweigergebnis je</t>
    </r>
    <r>
      <rPr>
        <b/>
        <sz val="11"/>
        <color indexed="8"/>
        <rFont val="Arial"/>
        <family val="2"/>
      </rPr>
      <t xml:space="preserve"> 100 Stallpl. u. Jahr</t>
    </r>
  </si>
  <si>
    <t>Erforderlicher durchschn.   Eierpreis (o. Mwst)</t>
  </si>
  <si>
    <t xml:space="preserve">Unterstellte Daten in der Kalkulation </t>
  </si>
  <si>
    <t>Raufutter je 100 Hennen und Durchgang</t>
  </si>
  <si>
    <t xml:space="preserve"> - Nährstoffpreise und -gehalte</t>
  </si>
  <si>
    <t xml:space="preserve"> - Deckungsbeitrag je 100 Tiere und Platz bzw. je Durchgang: davon sind Festkosten Stall, Gemeinkosten und 
   Arbeitskosten abzudecken</t>
  </si>
  <si>
    <t xml:space="preserve"> - Gewinn je AKh: entspricht dem erzielten Stundenlohn (DB abzgl. Fest- und Gemeinkosten, dividiert durch AKh) </t>
  </si>
  <si>
    <t xml:space="preserve"> - Kalkulatorisches Betriebszweigergebnis (= Unternehmergewinn): DB abzgl. Festkosten und Lohnansatz </t>
  </si>
  <si>
    <t xml:space="preserve">                            Berücksichtigung einer Investitionsförderung?   </t>
  </si>
  <si>
    <t>Zinssatz für gebundenes Gebäudekapital (i)</t>
  </si>
  <si>
    <t>(netto in €/kg Reinnährstoff)</t>
  </si>
  <si>
    <t>Preis (Ø S - XL) (netto)</t>
  </si>
  <si>
    <r>
      <rPr>
        <vertAlign val="superscript"/>
        <sz val="9"/>
        <rFont val="Arial"/>
        <family val="2"/>
      </rPr>
      <t xml:space="preserve">1) </t>
    </r>
    <r>
      <rPr>
        <sz val="9"/>
        <rFont val="Arial"/>
        <family val="2"/>
      </rPr>
      <t>Vermarktungskosten = Sortierung, Verpackung, Transportkosten und Werbemittel ohne die Kosten der Arbeit (stark von Betriebsgröße und Organisation abhängig)</t>
    </r>
  </si>
  <si>
    <t>€/ha</t>
  </si>
  <si>
    <t>DB in % von Fest-, Gemein- und Arbeitskosten</t>
  </si>
  <si>
    <t>Arbeitszeitbedarf Produktion und Vermarktung je 100 Stallplätze und Jahr</t>
  </si>
  <si>
    <r>
      <t xml:space="preserve">Kalkulatorisches Betriebszweigergebnis </t>
    </r>
    <r>
      <rPr>
        <b/>
        <sz val="11"/>
        <color indexed="8"/>
        <rFont val="Arial"/>
        <family val="2"/>
      </rPr>
      <t>je 100 Stallpl. u. Jahr</t>
    </r>
  </si>
  <si>
    <t>300er Mobilstall</t>
  </si>
  <si>
    <t xml:space="preserve"> %</t>
  </si>
  <si>
    <t xml:space="preserve">Legeleistung </t>
  </si>
  <si>
    <t>Preis je Ei (netto)</t>
  </si>
  <si>
    <t>Kalkulat. Betriebszweigergebnis</t>
  </si>
  <si>
    <t xml:space="preserve">Lohnansatz </t>
  </si>
  <si>
    <t>Leistungen insgesamt</t>
  </si>
  <si>
    <t>variable Kosten insgesamt</t>
  </si>
  <si>
    <t xml:space="preserve">Kosten Stall und Gemeinkosten </t>
  </si>
  <si>
    <t>h</t>
  </si>
  <si>
    <t>kostendeckender durchschnittlicher Eierpreis (netto)</t>
  </si>
  <si>
    <t>ct.</t>
  </si>
  <si>
    <t>Verwertung je Akh</t>
  </si>
  <si>
    <t xml:space="preserve">      davon Eier</t>
  </si>
  <si>
    <t xml:space="preserve">      davon Futter</t>
  </si>
  <si>
    <t>Vermarktungsform:</t>
  </si>
  <si>
    <t>€/Akh</t>
  </si>
  <si>
    <t>je 100 Pl. und Jahr</t>
  </si>
  <si>
    <t xml:space="preserve"> je 100 Pl. u. Jahr</t>
  </si>
  <si>
    <t>3.000 Legehennen</t>
  </si>
  <si>
    <t>6.000 Legehennen</t>
  </si>
  <si>
    <t>Eierpreis Ø</t>
  </si>
  <si>
    <t>Einzelh.</t>
  </si>
  <si>
    <t>Direktverm.</t>
  </si>
  <si>
    <r>
      <rPr>
        <b/>
        <sz val="16"/>
        <rFont val="Arial"/>
        <family val="2"/>
      </rPr>
      <t>Drei unterschiedliche Vermarktungswege</t>
    </r>
    <r>
      <rPr>
        <sz val="16"/>
        <rFont val="Arial"/>
        <family val="2"/>
      </rPr>
      <t xml:space="preserve"> (Packstelle, Wiederverkäufer, Direktvermarktung) erleichtern das </t>
    </r>
  </si>
  <si>
    <t>individuelle, praxisnahe Kalkulieren verschiedener Alternativen.</t>
  </si>
  <si>
    <t>Folien6.000</t>
  </si>
  <si>
    <t>Folien3.000</t>
  </si>
  <si>
    <t>FolienMobilstall</t>
  </si>
  <si>
    <t>6.000 Hennen</t>
  </si>
  <si>
    <t>3.000 Hennen</t>
  </si>
  <si>
    <t xml:space="preserve">Abgebildet werden Kalkulationen zu den Vollkosten der ökologischen Legehennenhaltung mit vorgegebenen Daten. </t>
  </si>
  <si>
    <t>Da es sich dabei um Durchschnittswerte handelt, können diese nach Bedarf angepasst werden.</t>
  </si>
  <si>
    <r>
      <t xml:space="preserve">Grundeinstellung </t>
    </r>
    <r>
      <rPr>
        <b/>
        <sz val="14"/>
        <rFont val="Arial"/>
        <family val="2"/>
      </rPr>
      <t>ohne</t>
    </r>
    <r>
      <rPr>
        <sz val="14"/>
        <rFont val="Arial"/>
        <family val="2"/>
      </rPr>
      <t xml:space="preserve"> Investitionsförderung und/oder FAKT</t>
    </r>
  </si>
  <si>
    <r>
      <t xml:space="preserve">Es werden </t>
    </r>
    <r>
      <rPr>
        <b/>
        <sz val="16"/>
        <rFont val="Arial"/>
        <family val="2"/>
      </rPr>
      <t>3</t>
    </r>
    <r>
      <rPr>
        <sz val="16"/>
        <rFont val="Arial"/>
        <family val="2"/>
      </rPr>
      <t xml:space="preserve"> </t>
    </r>
    <r>
      <rPr>
        <b/>
        <sz val="16"/>
        <rFont val="Arial"/>
        <family val="2"/>
      </rPr>
      <t>verschiedene Herdengrößen</t>
    </r>
    <r>
      <rPr>
        <sz val="16"/>
        <rFont val="Arial"/>
        <family val="2"/>
      </rPr>
      <t xml:space="preserve"> dargestellt. Sie unterscheiden sich vor allem bei den Stallbaukosten</t>
    </r>
  </si>
  <si>
    <r>
      <t></t>
    </r>
    <r>
      <rPr>
        <sz val="16"/>
        <rFont val="Wingdings"/>
        <charset val="2"/>
      </rPr>
      <t>§</t>
    </r>
    <r>
      <rPr>
        <sz val="16"/>
        <rFont val="Arial"/>
        <family val="2"/>
      </rPr>
      <t xml:space="preserve"> Kurzdarstellung der Ergebnisse</t>
    </r>
  </si>
  <si>
    <r>
      <rPr>
        <sz val="16"/>
        <rFont val="Wingdings"/>
        <charset val="2"/>
      </rPr>
      <t>§</t>
    </r>
    <r>
      <rPr>
        <sz val="16"/>
        <rFont val="Arial"/>
        <family val="2"/>
      </rPr>
      <t xml:space="preserve"> Berechnung und Ergebnisstabellen </t>
    </r>
  </si>
  <si>
    <r>
      <rPr>
        <sz val="16"/>
        <rFont val="Wingdings"/>
        <charset val="2"/>
      </rPr>
      <t>§</t>
    </r>
    <r>
      <rPr>
        <sz val="16"/>
        <rFont val="Arial"/>
        <family val="2"/>
      </rPr>
      <t xml:space="preserve"> Grafiken (DB, erforderlicher Eierpreis, Kostenstruktur)</t>
    </r>
  </si>
  <si>
    <r>
      <rPr>
        <sz val="16"/>
        <rFont val="Wingdings"/>
        <charset val="2"/>
      </rPr>
      <t>§</t>
    </r>
    <r>
      <rPr>
        <sz val="16"/>
        <rFont val="Arial"/>
        <family val="2"/>
      </rPr>
      <t xml:space="preserve"> Kurzdarstellung der Ergebnisse</t>
    </r>
  </si>
  <si>
    <t>Hier geht es per Mausklick zur Berechnung</t>
  </si>
  <si>
    <t>Gelbe Felder können individuell angepasst werden</t>
  </si>
  <si>
    <t xml:space="preserve">Lohnansatz/Std. </t>
  </si>
  <si>
    <t>Nutzungsdauer Stall und Einrichtung</t>
  </si>
  <si>
    <t>Unterhaltungskosten Stall und Einrichtung</t>
  </si>
  <si>
    <t>Auslauf (min. 4 qm) je Henne</t>
  </si>
  <si>
    <t>Gemeinkosten je 100 Plätze/Jahr</t>
  </si>
  <si>
    <t>Sonstige variable Kosten je 100 Hennen und Jahr</t>
  </si>
  <si>
    <t>Wirtschaftsdüngeranfall je 100 Tiere und Jahr</t>
  </si>
  <si>
    <t>ct</t>
  </si>
  <si>
    <r>
      <t xml:space="preserve">Erzeugungskosten je Ei
</t>
    </r>
    <r>
      <rPr>
        <sz val="12"/>
        <color indexed="8"/>
        <rFont val="Arial"/>
        <family val="2"/>
      </rPr>
      <t xml:space="preserve">(abzgl. Nebenleistungen) = notwendiger Eiererlös
 </t>
    </r>
  </si>
  <si>
    <t>gelbe Felder sind Eingabefelder!</t>
  </si>
  <si>
    <r>
      <t xml:space="preserve">Wenn </t>
    </r>
    <r>
      <rPr>
        <b/>
        <sz val="14"/>
        <rFont val="Arial"/>
        <family val="2"/>
      </rPr>
      <t>JA</t>
    </r>
    <r>
      <rPr>
        <sz val="14"/>
        <rFont val="Arial"/>
        <family val="2"/>
      </rPr>
      <t>, dann</t>
    </r>
    <r>
      <rPr>
        <b/>
        <sz val="14"/>
        <rFont val="Arial"/>
        <family val="2"/>
      </rPr>
      <t xml:space="preserve"> x</t>
    </r>
    <r>
      <rPr>
        <sz val="14"/>
        <rFont val="Arial"/>
        <family val="2"/>
      </rPr>
      <t xml:space="preserve"> eintragen, wenn </t>
    </r>
    <r>
      <rPr>
        <b/>
        <sz val="14"/>
        <rFont val="Arial"/>
        <family val="2"/>
      </rPr>
      <t>NEIN</t>
    </r>
    <r>
      <rPr>
        <sz val="14"/>
        <rFont val="Arial"/>
        <family val="2"/>
      </rPr>
      <t xml:space="preserve"> dann</t>
    </r>
    <r>
      <rPr>
        <b/>
        <sz val="14"/>
        <rFont val="Arial"/>
        <family val="2"/>
      </rPr>
      <t xml:space="preserve"> x</t>
    </r>
    <r>
      <rPr>
        <sz val="14"/>
        <rFont val="Arial"/>
        <family val="2"/>
      </rPr>
      <t xml:space="preserve"> im gelben Feld löschen</t>
    </r>
  </si>
  <si>
    <r>
      <t xml:space="preserve">Arbeitszeit je Ei: Behringer J, Vermarktung von Hühnereier ( Bachelor thesis), S. 34ff: 0,05 Min. </t>
    </r>
    <r>
      <rPr>
        <b/>
        <sz val="10"/>
        <rFont val="Arial"/>
        <family val="2"/>
      </rPr>
      <t>sortieren, kontrollieren, verpacken</t>
    </r>
    <r>
      <rPr>
        <sz val="10"/>
        <rFont val="Arial"/>
        <family val="2"/>
      </rPr>
      <t xml:space="preserve"> zusätzlich je nach Vermarktungsweg  Ø 0,20 DV (0,25 Min. Wochenmarkt, 0,2 Min. Haustüre 0,15 Min. Eierautomat), Ø 0,05 Wiederverkäufer/LEH für </t>
    </r>
    <r>
      <rPr>
        <b/>
        <sz val="10"/>
        <rFont val="Arial"/>
        <family val="2"/>
      </rPr>
      <t>Verkauf</t>
    </r>
    <r>
      <rPr>
        <sz val="10"/>
        <rFont val="Arial"/>
        <family val="2"/>
      </rPr>
      <t xml:space="preserve"> und</t>
    </r>
    <r>
      <rPr>
        <b/>
        <sz val="10"/>
        <rFont val="Arial"/>
        <family val="2"/>
      </rPr>
      <t xml:space="preserve"> Kommunikationspolitik</t>
    </r>
  </si>
  <si>
    <t>Annahmen zur Ver-marktung</t>
  </si>
  <si>
    <t xml:space="preserve">Einzelhandel: Sortierung am Hof, eigene Lieferung an EH/ Naturkostläden </t>
  </si>
  <si>
    <t>Preis Packstelle: Auskunft von Fr. Amberger (Die Biohenne) 19,1 - 19,4 ct je vermarktungsfähigem Ei im Schnitt</t>
  </si>
  <si>
    <t>EUR/100St.</t>
  </si>
  <si>
    <t>KTBL W.rechner 2016 je 100 Tiere u. a</t>
  </si>
  <si>
    <t>Annahme: 0,18 € TKB je Stück, da Verluste durch Fuchs etc. nicht mehr beseitigt werden müssen wird nur die Hälfte angenommen</t>
  </si>
  <si>
    <t>KTBL 2014/15 je 100 Tiere u. a</t>
  </si>
  <si>
    <t>KTBL14/15:  Legeleistung Durchschnittshenne 289 abzüglich Tierverluste = Legeleistung Anfangshenne: 274</t>
  </si>
  <si>
    <t>= Unternehmergewinn (Gesamte Leistung minus Gesamte Kosten)</t>
  </si>
  <si>
    <t xml:space="preserve">Akh-Bedarf </t>
  </si>
  <si>
    <t>rechnerisch bezogen auf 1 t Festmist</t>
  </si>
  <si>
    <t>Ct/Ei</t>
  </si>
  <si>
    <t>Ct</t>
  </si>
  <si>
    <r>
      <t xml:space="preserve">Nährstoffpreise nach LEL Kalkulationsdaten Öko-Marktfrüchte - </t>
    </r>
    <r>
      <rPr>
        <b/>
        <sz val="10"/>
        <rFont val="Arial"/>
        <family val="2"/>
      </rPr>
      <t>konventionelle Ansätze: 1,00 // 0,80 // 0,60 !!!</t>
    </r>
  </si>
  <si>
    <t xml:space="preserve">Kosten Sortierung/Vermarktung/Verpackung: Behringer S. 56/58 DV  4 - 6 ct, Indirekte Vermarktung 1,5 - 2,5 ct; Ökolandbau.de  1,25 ct bei DV/EH Vermarktung, www.oekolandbau.de/erzeuger/tierhaltung/artspezifische-anforderungen/gefluegel/grundlagen-der-biogefluegelhaltung/ </t>
  </si>
  <si>
    <t>Alttiererlös: ökolandbau.de 10 % des Jungehennenpreises je nach Vermarktungsform (z.B. Schlachthuhn ab Hof) auch mehr</t>
  </si>
  <si>
    <t>Tierverluste: Schöllhammer 2012 - 2015 im Schnitt 12,6 % Verluste; KTBL 2010, S. 646 10 % (6 - 12% )</t>
  </si>
  <si>
    <t>Knick/Schmutzeier: Thiess 3 - 5 % wachsend mit längerer Legeperiode, Preis variert je nach Absatzmöglichkeit von 0 - 10 Cent</t>
  </si>
  <si>
    <t>Legeperiode: KTBL 2010, S. 646, 12 - 18 Monaten bei 2 Legeperioden mit Mauser //// Tierarzt KTBL W.rechner 0,16 je TP und Jahr</t>
  </si>
  <si>
    <t>Leerzeit (zur Stallreinigung): Thiess (LEL) 7 - 21 Tage //////  Versicherung etc. KTBL W.rechner 0,05 TSK, 0,12/0,25 Tarif (S/N) Versicherung, 0,18 Tierkörperbeseitigung</t>
  </si>
  <si>
    <t>Futter: Michel (MEIKA) ca. 135 g bei Biolegehenne (= etwa 10 % mehr als konv.); KTBL 2010, S. 646 128 g je Tag und Tier; KTBL Faustzahlen ÖL, S. 575 130 g Tier/Tag (= 48 dt bei 100 Hennen und 369 Produktionstagen), Geflügeljahrbuch 45,6 Tier und Jahr, KTBL, Fachartikel 19,77 €/TP und Jahr ///// Einstreu: KTBL 14/15, S.727 0,15 - 0,4 kg/TP und a ///// Pflege Grünauslauf S. 725 KTBL 14/15, ohne Arbeit 0 - 0,35 €/TP*a</t>
  </si>
  <si>
    <t>Neubau. Vorgabe 6 Tiere je m²  begehbarer Fläche bzw 8,6 bei Volieren</t>
  </si>
  <si>
    <t xml:space="preserve">  Arbeitszeit: KTBL 2014/15, S. 728  6.000 Hennen 38 AKh/100 TP und Jahr, 3.000 Tierplätze 42 AKH/100 TP und Jahr; Andersonn und Deerberg BZA Legehenne 2004 - 2006 im Schnitt 0,57 AKh/TP = 57 h für Produktion;  LFL Abschlussbericht zur BZA konv. und ökolog. Lgehennenhaltung S.51  21 Akmin je Tier bzw. 35 AKH/100 Legehennen ohne Sort.verp. Verm.; Schöllhammer (konv.) 1 Akh je Henne und Jahr inkl. Vermarktung;  UFA Revue Schweiz 3/2013, 2.000 Hennen = 1.450 Akh unsortiert an Packstelle</t>
  </si>
  <si>
    <t>Legeleistung: KTBL 14/15, S. 721 96, 4 - 83, 7 % im Schnitt 79,5 je Henne (keine Tierverluste berücksichtigt)</t>
  </si>
  <si>
    <t>Stalltage bis Legebeginn nach Thiess ( LEL) 14 - 28 und KTBL S. 721 - hier sind die Stalltage bis Legebeginn gleichgesetzt, da von der gleichen Ursprungshenne ausgegangen wird</t>
  </si>
  <si>
    <t>Eier: KTBL Faustzahlen ÖL, S. 575 236 Eier/Jahr (bei 0,9 Durchgängenje Jahr = 262 Eier je Durchgang)</t>
  </si>
  <si>
    <t>bei 100 Hühnern bezogen auf die Anzahl der gelegten Eier je Legeperiode</t>
  </si>
  <si>
    <r>
      <t xml:space="preserve">Nährstoffpreise nach LEL Kalkulationsdaten Öko-Marktfrüchte - </t>
    </r>
    <r>
      <rPr>
        <b/>
        <sz val="10"/>
        <rFont val="Arial"/>
        <family val="2"/>
      </rPr>
      <t>konventionelle Ansätze:1,00 // 0,80 // 0,60!!!</t>
    </r>
  </si>
  <si>
    <r>
      <t xml:space="preserve">Arbeitszeit je Ei: Behringer J, Vermarktung von Hühnereier (Bachelor thesis), S. 34ff 0,05 Min. </t>
    </r>
    <r>
      <rPr>
        <b/>
        <sz val="10"/>
        <rFont val="Arial"/>
        <family val="2"/>
      </rPr>
      <t>sortieren, kontrollieren, verpacken</t>
    </r>
    <r>
      <rPr>
        <sz val="10"/>
        <rFont val="Arial"/>
        <family val="2"/>
      </rPr>
      <t xml:space="preserve"> zusätzlich je nach Vermarktungsweg  Ø 0,20 DV (0,25 Min. Wochenmarkt, 0,2 Haustüre 0,15 Eierautomat), Ø 0,05 Wiederverkäufer/LEH für </t>
    </r>
    <r>
      <rPr>
        <b/>
        <sz val="10"/>
        <rFont val="Arial"/>
        <family val="2"/>
      </rPr>
      <t>Verkauf</t>
    </r>
    <r>
      <rPr>
        <sz val="10"/>
        <rFont val="Arial"/>
        <family val="2"/>
      </rPr>
      <t xml:space="preserve"> und</t>
    </r>
    <r>
      <rPr>
        <b/>
        <sz val="10"/>
        <rFont val="Arial"/>
        <family val="2"/>
      </rPr>
      <t xml:space="preserve"> Kommunikationspolitik</t>
    </r>
  </si>
  <si>
    <t xml:space="preserve">Einzelhandel: Sortierung am Hof, eigene Lieferung an EH/Naturkostläden </t>
  </si>
  <si>
    <t>Tierverluste: Schöllhammer 2012 - 2015 im Schnitt 12,6 % Verluste; KTBL 2010, S. 646 10 % (6 - 12 % ) ////</t>
  </si>
  <si>
    <t>Leerzeit (zur Stallreinigung): Thiess (LEL) 7 - 21 Tage ////// Versicherung etc. KTBL W.rechner 0,05 TSK, 0,12/0,25 Tarif (S/N) Versicherung, 0,18 Tierkörperbeseitigung</t>
  </si>
  <si>
    <t>Futter: Michel (MEIKA) ca. 135 g bei Biolegehenne (= etwa 10 % mehr als konv.), KTBL 2010, S. 646 128 g je Tag und Tier, KTBL Faustzaheln ÖL, S. 575 130 g Tier/Tag (= 48 dt bei 100 Hennen und 369 Produktionstagen), Geflügeljahrbuch 45,6 Tier und Jahr, KTBL, Fachartikel 19,77 €/TP und Jahr ///// Einstreu: KTBL 14/15, S.727 0,15 - 0,4 kg /TP und a, Pflege Grünauslauf S. 725 KTBL 14/15 ohne Arbeit 0 - 0,35 €/TP*a</t>
  </si>
  <si>
    <t>Raufutter KTBL W.rechner 3,4 kg KG Silage/a, Wertansatz nach Kalkdaten Schwein (LEL); Bioland 11/2012 Maissilage 100 t je 3.000 Hühner /// variable Maschienen Kosten: KTBL W.rechner 0,15 €/(TP*a) inkl. Wirtschaftsdüngerausbringung, Mobilstall 1,02 €/(TP*a)</t>
  </si>
  <si>
    <t>Neubau. Vorgabe 6 Tiere je m²  begehbarere Fläche bzw. 8,6 bei Volieren</t>
  </si>
  <si>
    <t xml:space="preserve">Kosten Sortierung/Vermarktung/Verpackung: Behringer S.56 /58 DV  4-6 cent, Indirekte vermarktung 1,5-2,5 Cent; Ökolandbau.de  1,25 cent bei DV/EH Vermarktung www.oekolandbau.de/erzeuger/tierhaltung/artspezifische-anforderungen/gefluegel/grundlagen-der-biogefluegelhaltung/ </t>
  </si>
  <si>
    <t>Raufutter: KTBL W.rechner 3,4 kg KG Silage/a, Wertansatz nach Kalkdaten Schwein (LEL); Bioland 11/2012 Maissilage 100 t je 3000 Hühner // variable Maschienen Kosten: KTBL W.rechner 0,15 €/(TP*a) inkl. Wirtschaftsdüngerausbringung, Mobilstall 1,02 €/(TP*a)</t>
  </si>
  <si>
    <t xml:space="preserve">  Arbeitszeit: KTBL 2014/15, S. 728  6.000 Hennen 38 AKh/100 TP und Jahr, 3.000 Tierplätze 42 AKH/100 TP und a; Andersonn und Deerberg BZA Legehenne 2004 - 2006 im Schnitt 0,57 AKh/ TP = 57 h für Produktion;  LFL Abschlussbericht zur BZA konv. und ökolog. Legehennenhaltung, S.51  21 Akmin je Tier bzw. 35 AKH/100 Legehennen ohne Sort.verp. Verm.; Schöllhammer (konv.) 1 Akh je Henne und Jahr inkl. Vermarktung; UFA Revue Schweiz 3/2013, 2.000 Hennen = 1.450 Akh unsortiert an Packstelle</t>
  </si>
  <si>
    <t>Legeleistung: KTBL 14/15, S. 721 96,4 - 83,7 % im Schnitt 79,5 je Henne (keine Tierverluste berücksichtigt)</t>
  </si>
  <si>
    <t>Stalltage bis Legebeginn nach Thiess (LEL) 14 - 28 und KTBL S. 721 - hier sind die Stalltage bis Legebeginn gleichgesetzt da von der gleichen Ursprungshenne ausgegangen wird</t>
  </si>
  <si>
    <t>KTBL14/15: Legeleistung Durchschnittshenne 289 abzüglich Tierverluste = Legeleistung Anfangshenne: 274</t>
  </si>
  <si>
    <t>Eier: KTBL Faustzahlen ÖL, S. 575 236 Eier/Jahr (bei 0,9 Durchgängen je Jahr = 262 Eier je Durchgang)</t>
  </si>
  <si>
    <t>bei 100 Hühnern bezogen auf die Anzahl der gelegeten Eier je Legeperiode</t>
  </si>
  <si>
    <t>Db Grundregel nach "Die Biohennen Ag" 35 - 40.000 € Db je 3.000 Legehennen</t>
  </si>
  <si>
    <t>Wirtschaftsdüngeranfall/100 Tiere und Jahr</t>
  </si>
  <si>
    <t>Sonstige variable Kosten/100 Hennen und Jahr</t>
  </si>
  <si>
    <t>= Unternehmergewinn (Gesamte Leistung minus gesamte Kosten)</t>
  </si>
  <si>
    <r>
      <t xml:space="preserve">Nährstoffpreise nach LEL Kalkulationsdaten Öko-Marktfrüchte - </t>
    </r>
    <r>
      <rPr>
        <b/>
        <sz val="10"/>
        <rFont val="Arial"/>
        <family val="2"/>
      </rPr>
      <t>konventionelle Ansätze: 1,00 // 0,80 // 0,60!!!</t>
    </r>
  </si>
  <si>
    <t xml:space="preserve">Einzelhandel:Sortierung am Hof, eigene Lieferung an EH/Naturkostläden </t>
  </si>
  <si>
    <t xml:space="preserve">Kosten Sortierung/Vermarktung/Verpackung: Behringer, S. 56/58 DV  4 - 6 Cent, indirekte Vermarktung 1,5 - 2,5 Cent; Ökolandbau.de  1,25 Cent bei DV/EH Vermarktung www.oekolandbau.de/erzeuger/tierhaltung/artspezifische-anforderungen/gefluegel/grundlagen-der-biogefluegelhaltung/ </t>
  </si>
  <si>
    <t>Tierverluste: Schöllhammer 2012 - 2015 im Schnitt 12,6 % Verluste; KTBL 2010, S. 646 10 % (6 - 12 %)</t>
  </si>
  <si>
    <t>Legeperiode: KTBL 2010, S. 646, 12 - 18 Monaten bei 2 Legeperioden mit Mauser //// Tierarzt: KTBL W.rechner 0,16 je TP und Jahr</t>
  </si>
  <si>
    <t>Leerzeit (zur Stallreinigung): Thiess (LEL) 7 - 21 Tage //////  Versicherung etc.: KTBL W.rechner 0,05 TSK, 0,12/0,25 Tarif (S/N) Versicherung, 0,18 Tierkörperbeseitigung</t>
  </si>
  <si>
    <t>Futter: Michel (MEIKA) ca. 135 g bei Biolegehenne (= etwa 10 % mehr als konv.); KTBL 2010, S. 646 128 g je Tag und Tier; KTBL Faustzaheln ÖL, S. 575 130 g Tier/Tag (= 48 dt bei 100 Hennen und 369 Produktionstagen); Geflügeljahrbuch 45,6 Tier und Jahr; KTBL, Fachartikel 19,77 €/TP und Jahr ///// Einstreu: KTBL 14/15, S.727 0,15 - 0,4 kg/TP und a; Pflege Grünauslauf S. 725 KTBL 14/15 ohne Arbeit 0 - 0,35 €/TP*a</t>
  </si>
  <si>
    <t>Raufutter: KTBL W.rechner 3,4 kg KG Silage/a,Wertansatz nach Kalkdaten Schwein (LEL); Bioland 11/2012 Maissilage 100 t je 3.000 Hühner // variable Maschienen Kosten: KTBL W.rechner 0,15 €/(TP*a) inkl. Wirtschaftsdüngerausbringung, Mobilstall 1,02 €/(TP*a)</t>
  </si>
  <si>
    <t xml:space="preserve">  Arbeitszeit: KTBL 2014/15, S. 728  6.000 Hennen 38 AKh/100 TP und Jahr, 3.000 Tierplätze 42 AKH/100 TP und a; Andersonn und Deerberg BZA Legehenne 2004 - 2006 im Schnitt 0,57 AKh/TP = 57 h für Produktion;  LFL Abschlussbericht zur BZA konv. und öko Lgehennenhaltung S.51  21 Akmin je Tier bzw. 35 AKH/100 Legehennen ohne Sort.verp. Verm.; Schöllhammer (konv.) 1 Akh je Henne und Jahr inkl. Vermarktung; UFA Revue Schweiz 3/2013, 2.000 Hennen = 1.450 Akh unsortiert an Packstelle, Artikel KÖL RLP 2015 Mobilstall </t>
  </si>
  <si>
    <t>Pieper (2016): 480 - 550 AKH bei 250 - 300 Hennen (inkl. sortieren, Automat bestücken, Grünlandpflege, Zaunkontrolle, Umsetzen etc. ohne weitere Vermarktungstätigkeiten)</t>
  </si>
  <si>
    <t>Faustzahlen Öko KTBL, S. 574 Mobilstall 225 TP -&gt; 188 Akh/100 TP inkl. Vermarktung (80 h)</t>
  </si>
  <si>
    <t>Ami, Abruf Juli 2018</t>
  </si>
  <si>
    <t>Eierpreise Ami: Naturkost EH Eier M, Jahreszahlen2016 und 17 KTBL Faustzahlen ÖL unsortiert Packstelle 16,5ct, sortiert vom Mobilstall 25 ct</t>
  </si>
  <si>
    <t>Eierpreise Agrar BW 6.5.15 (Axel Hilckmann) Packstellenvermarktung ca. 18 ct, Möckel LSL 18.07.18 18-19,5 ct, LEH 26-30 ct, Direkt 35-45ct</t>
  </si>
  <si>
    <t>Futterpreis: RKW Kehl Emai,l Tel: Möckel LSL Hilkman Bioland55-61€/dt /// Energie und Wasser KTBL W.rechner: 0,16 € Wasser (ohne Abwassergeb.) + 0,94 € Strom (3,9 kWh/a/TP*0,24 €/kWh) + Gas 0,11€ TP und a; Schöllhammer im Schnitt 2012 - 2015 1,3 € je TP und a</t>
  </si>
  <si>
    <t>Stallkosten: KTBL 2017, S. 694 59-77.- € bei 3.000 bis 6.000 Hühner, Präsentation Hühnermobile HNE Eberswalde, Tag d. ökolo. Landbau 2014 Mobilstall 100 - 150 € Platz /// Gemeinkosten: nach LFL 0,47 €/Ah; Schöllhammer (konv.) 2012 - 2015 im Schnitt 0,65 je Jahr</t>
  </si>
  <si>
    <t>Futterpreis: RKW Kehl Email am 18.07.58-61 € /dt., MEIKA 54-57€ /dt, LAM 36 BL 59 - 61 €/dt; Geflügeljb 2015 56 €/dt /// Energie und Wasser KTBL W.rechner: 0,16 € Wasser (ohne Abwassergeb.) + 0,94 € Strom (3,9 kWh/a/TP*0,24 €/kWh) + Gas 0,11 € TP und a; Schöllhammer im Schnitt 2012 - 2015 1,3 € je TP und a</t>
  </si>
  <si>
    <t>Vers.01/2018
 (Stand: 07/2018)</t>
  </si>
  <si>
    <t>Jörg Miez, Katrin Schabel, Dr. Volker Segger, Abt. 2, LEL Schwäbisch Gmünd</t>
  </si>
  <si>
    <t>Quellenangaben: Behringer, J.: Vermarktung von Hühnereiern  2012 (Bachelor Thesis); RKW Kehl, MEIKA; Mail vom 19.07.2018, LSL Rhein-Main Telefonat 18.07.2018 ; Faustzahlen für den Ökologischen Landbau, KTBL 2015; Betriebsplanung Landwirtschaft 2014/15, KTBL 2015; Kalkulationsdaten ökologischer Futterbau, LEL 2015; Packstelle "Die Biohennen", Mail vom 20.06.2016; Mobilställe für Legehennen auf dem Vormarsch, KÖL Rheinland Pfalz 2015.</t>
  </si>
  <si>
    <t>und der Arbeitszeit. Insbesondere die Stallbaukosten können betriebsindividuell erheblich divergieren und sind auf
 den Einzelfall anzupassen. Selbiges gilt für die Bezugspreise von Junghennen und Futter. Beim Mobilstall wurden des Weiteren höhere Eierpreise und variable Maschinenkosten angenommen.</t>
  </si>
  <si>
    <t>Nährstoffgehalte nach DüV(N u. P) und  NÄBI (K2O) (N 76,4 kg (50 % davon anrechenbar nach Verlusten) 39,6 kg P, 31,6 kg K je Platz (100 Hühner) und Jahr, zur Vereinfachung runtergerechnet auf 2,4 t Festmist (Trockenkot)</t>
  </si>
  <si>
    <r>
      <rPr>
        <b/>
        <sz val="14"/>
        <rFont val="Arial"/>
        <family val="2"/>
      </rPr>
      <t>Durchschnittshenne:</t>
    </r>
    <r>
      <rPr>
        <sz val="14"/>
        <rFont val="Arial"/>
        <family val="2"/>
      </rPr>
      <t xml:space="preserve"> Tierverluste während der Legeperiode sind nicht berücksichtigt &lt;=&gt; </t>
    </r>
    <r>
      <rPr>
        <b/>
        <sz val="14"/>
        <rFont val="Arial"/>
        <family val="2"/>
      </rPr>
      <t>Anfangshenne:</t>
    </r>
    <r>
      <rPr>
        <sz val="14"/>
        <rFont val="Arial"/>
        <family val="2"/>
      </rPr>
      <t xml:space="preserve"> Tierverluste während der Legeperiode werden berücksichtigt</t>
    </r>
  </si>
  <si>
    <t>Futterpreis: RKW Kehl Email am 18.07.2018,58-61 € /dt., MEIKA 54-57€ /dt, LAM 36 BL 59 - 61 €/dt; Geflügeljb 2015 56 €/dt /// Energie und Wasser KTBL W.rechner: 0,16 € Wasser (ohne Abwassergeb.) + 0,94 € Strom (3,9 kWh/a/TP*0,24 €/kWh) + Gas 0,11 € TP und a; Schöllhammer im Schnitt 2012 - 2015 1,3 € je TP und a</t>
  </si>
  <si>
    <r>
      <rPr>
        <b/>
        <sz val="14"/>
        <rFont val="Arial"/>
        <family val="2"/>
      </rPr>
      <t xml:space="preserve">Durchschnittshenne </t>
    </r>
    <r>
      <rPr>
        <sz val="14"/>
        <rFont val="Arial"/>
        <family val="2"/>
      </rPr>
      <t xml:space="preserve">= Tierverluste während der Legeperiode sind nicht berücksichtigt berücksichtigt &lt;=&gt; </t>
    </r>
    <r>
      <rPr>
        <b/>
        <sz val="14"/>
        <rFont val="Arial"/>
        <family val="2"/>
      </rPr>
      <t>Anfangshenne</t>
    </r>
    <r>
      <rPr>
        <sz val="14"/>
        <rFont val="Arial"/>
        <family val="2"/>
      </rPr>
      <t xml:space="preserve"> = Tierverluste während der Legeperiode werden berücksichtigt</t>
    </r>
  </si>
  <si>
    <t xml:space="preserve">© Landesanstalt für Landwirtschaft, Ernährung und Ländlichen Raum(LEL), Oberbettringer Str. 162,                                                                                                                       73525 Schwäbisch Gmünd Tel. 07171 / 917-100  Fax 917-101  e-Mail: poststelle@lel.bwl.de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</si>
</sst>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000"/>
    <numFmt numFmtId="165" formatCode="0.000"/>
    <numFmt numFmtId="166" formatCode="0.0"/>
    <numFmt numFmtId="167" formatCode="0.0%"/>
    <numFmt numFmtId="168" formatCode="#,##0.00\ &quot;€&quot;"/>
    <numFmt numFmtId="169" formatCode="#,##0.00_ ;[Red]\-#,##0.00\ "/>
    <numFmt numFmtId="170" formatCode="#,##0_ ;[Red]\-#,##0\ "/>
    <numFmt numFmtId="171" formatCode="#,##0.0&quot; %&quot;"/>
    <numFmt numFmtId="172" formatCode="#,##0&quot; € je Platz  x&quot;"/>
    <numFmt numFmtId="173" formatCode="#,##0.00&quot; €/AKh &quot;"/>
    <numFmt numFmtId="174" formatCode="#,##0.00000&quot; %&quot;"/>
    <numFmt numFmtId="175" formatCode="##0.##0&quot; Cent&quot;"/>
    <numFmt numFmtId="176" formatCode="##0.##00&quot; Cent&quot;"/>
  </numFmts>
  <fonts count="70" x14ac:knownFonts="1">
    <font>
      <sz val="10"/>
      <name val="Arial"/>
    </font>
    <font>
      <sz val="10"/>
      <name val="Arial"/>
      <family val="2"/>
    </font>
    <font>
      <sz val="12"/>
      <name val="Arial"/>
      <family val="2"/>
    </font>
    <font>
      <sz val="16"/>
      <name val="Arial"/>
      <family val="2"/>
    </font>
    <font>
      <b/>
      <sz val="16"/>
      <name val="Arial"/>
      <family val="2"/>
    </font>
    <font>
      <sz val="14"/>
      <name val="Arial"/>
      <family val="2"/>
    </font>
    <font>
      <b/>
      <sz val="14"/>
      <name val="Arial"/>
      <family val="2"/>
    </font>
    <font>
      <b/>
      <sz val="14"/>
      <name val="Arial"/>
      <family val="2"/>
    </font>
    <font>
      <sz val="13"/>
      <name val="Arial"/>
      <family val="2"/>
    </font>
    <font>
      <b/>
      <sz val="14"/>
      <color indexed="10"/>
      <name val="Arial"/>
      <family val="2"/>
    </font>
    <font>
      <sz val="20"/>
      <name val="Arial"/>
      <family val="2"/>
    </font>
    <font>
      <sz val="22"/>
      <name val="Arial"/>
      <family val="2"/>
    </font>
    <font>
      <sz val="14"/>
      <color indexed="10"/>
      <name val="Arial"/>
      <family val="2"/>
    </font>
    <font>
      <b/>
      <sz val="18"/>
      <color indexed="8"/>
      <name val="Arial"/>
      <family val="2"/>
    </font>
    <font>
      <sz val="18"/>
      <color indexed="8"/>
      <name val="Arial"/>
      <family val="2"/>
    </font>
    <font>
      <sz val="10"/>
      <color indexed="8"/>
      <name val="Arial"/>
      <family val="2"/>
    </font>
    <font>
      <b/>
      <sz val="20"/>
      <color indexed="8"/>
      <name val="Arial"/>
      <family val="2"/>
    </font>
    <font>
      <sz val="12"/>
      <color indexed="8"/>
      <name val="Arial"/>
      <family val="2"/>
    </font>
    <font>
      <b/>
      <sz val="14"/>
      <color indexed="8"/>
      <name val="Arial"/>
      <family val="2"/>
    </font>
    <font>
      <u/>
      <sz val="7.5"/>
      <color indexed="12"/>
      <name val="Arial"/>
      <family val="2"/>
    </font>
    <font>
      <b/>
      <sz val="12"/>
      <name val="Arial"/>
      <family val="2"/>
    </font>
    <font>
      <b/>
      <sz val="12"/>
      <color indexed="8"/>
      <name val="Arial"/>
      <family val="2"/>
    </font>
    <font>
      <sz val="11"/>
      <name val="Arial"/>
      <family val="2"/>
    </font>
    <font>
      <b/>
      <sz val="10"/>
      <color indexed="8"/>
      <name val="Arial"/>
      <family val="2"/>
    </font>
    <font>
      <b/>
      <sz val="10"/>
      <name val="Arial"/>
      <family val="2"/>
    </font>
    <font>
      <sz val="12"/>
      <color indexed="10"/>
      <name val="Arial"/>
      <family val="2"/>
    </font>
    <font>
      <sz val="10"/>
      <color indexed="10"/>
      <name val="Arial"/>
      <family val="2"/>
    </font>
    <font>
      <b/>
      <sz val="11"/>
      <color indexed="10"/>
      <name val="Arial"/>
      <family val="2"/>
    </font>
    <font>
      <b/>
      <sz val="11"/>
      <name val="Arial"/>
      <family val="2"/>
    </font>
    <font>
      <b/>
      <sz val="36"/>
      <name val="Arial"/>
      <family val="2"/>
    </font>
    <font>
      <b/>
      <sz val="22"/>
      <name val="Arial"/>
      <family val="2"/>
    </font>
    <font>
      <sz val="13"/>
      <color indexed="62"/>
      <name val="Arial"/>
      <family val="2"/>
    </font>
    <font>
      <sz val="10"/>
      <color indexed="62"/>
      <name val="Arial"/>
      <family val="2"/>
    </font>
    <font>
      <sz val="12"/>
      <color indexed="62"/>
      <name val="Arial"/>
      <family val="2"/>
    </font>
    <font>
      <b/>
      <sz val="9"/>
      <color indexed="81"/>
      <name val="Tahoma"/>
      <family val="2"/>
    </font>
    <font>
      <sz val="28"/>
      <name val="Arial"/>
      <family val="2"/>
    </font>
    <font>
      <b/>
      <sz val="18"/>
      <name val="Arial"/>
      <family val="2"/>
    </font>
    <font>
      <b/>
      <i/>
      <sz val="10"/>
      <name val="Arial"/>
      <family val="2"/>
    </font>
    <font>
      <b/>
      <u/>
      <sz val="16"/>
      <color indexed="12"/>
      <name val="Arial"/>
      <family val="2"/>
    </font>
    <font>
      <vertAlign val="subscript"/>
      <sz val="10"/>
      <name val="Arial"/>
      <family val="2"/>
    </font>
    <font>
      <vertAlign val="subscript"/>
      <sz val="11"/>
      <name val="Arial"/>
      <family val="2"/>
    </font>
    <font>
      <vertAlign val="subscript"/>
      <sz val="12"/>
      <name val="Arial"/>
      <family val="2"/>
    </font>
    <font>
      <sz val="12"/>
      <color theme="3" tint="0.39997558519241921"/>
      <name val="Arial"/>
      <family val="2"/>
    </font>
    <font>
      <sz val="14"/>
      <color rgb="FFFF0000"/>
      <name val="Arial"/>
      <family val="2"/>
    </font>
    <font>
      <b/>
      <sz val="14"/>
      <color theme="3" tint="0.39997558519241921"/>
      <name val="Arial"/>
      <family val="2"/>
    </font>
    <font>
      <sz val="10"/>
      <color rgb="FFFF0000"/>
      <name val="Arial"/>
      <family val="2"/>
    </font>
    <font>
      <b/>
      <sz val="14"/>
      <color rgb="FFFF0000"/>
      <name val="Arial"/>
      <family val="2"/>
    </font>
    <font>
      <b/>
      <sz val="12"/>
      <color rgb="FFFF0000"/>
      <name val="Arial"/>
      <family val="2"/>
    </font>
    <font>
      <b/>
      <u/>
      <sz val="10"/>
      <color indexed="8"/>
      <name val="Arial"/>
      <family val="2"/>
    </font>
    <font>
      <sz val="11"/>
      <color rgb="FFFF0000"/>
      <name val="Arial"/>
      <family val="2"/>
    </font>
    <font>
      <b/>
      <sz val="8"/>
      <color indexed="81"/>
      <name val="Tahoma"/>
      <family val="2"/>
    </font>
    <font>
      <b/>
      <sz val="11"/>
      <color theme="1"/>
      <name val="Calibri"/>
      <family val="2"/>
      <scheme val="minor"/>
    </font>
    <font>
      <b/>
      <sz val="11"/>
      <color rgb="FFFF0000"/>
      <name val="Arial"/>
      <family val="2"/>
    </font>
    <font>
      <b/>
      <sz val="10"/>
      <color rgb="FFFF0000"/>
      <name val="Arial"/>
      <family val="2"/>
    </font>
    <font>
      <sz val="8"/>
      <color indexed="81"/>
      <name val="Tahoma"/>
      <family val="2"/>
    </font>
    <font>
      <sz val="14"/>
      <color indexed="8"/>
      <name val="Arial"/>
      <family val="2"/>
    </font>
    <font>
      <vertAlign val="superscript"/>
      <sz val="11"/>
      <name val="Arial"/>
      <family val="2"/>
    </font>
    <font>
      <sz val="9"/>
      <name val="Arial"/>
      <family val="2"/>
    </font>
    <font>
      <vertAlign val="superscript"/>
      <sz val="9"/>
      <name val="Arial"/>
      <family val="2"/>
    </font>
    <font>
      <sz val="10"/>
      <color theme="3" tint="0.39997558519241921"/>
      <name val="Arial"/>
      <family val="2"/>
    </font>
    <font>
      <sz val="11"/>
      <color theme="3" tint="0.39997558519241921"/>
      <name val="Arial"/>
      <family val="2"/>
    </font>
    <font>
      <b/>
      <sz val="11"/>
      <color indexed="8"/>
      <name val="Arial"/>
      <family val="2"/>
    </font>
    <font>
      <b/>
      <sz val="16"/>
      <color indexed="12"/>
      <name val="Arial"/>
      <family val="2"/>
    </font>
    <font>
      <sz val="10"/>
      <color indexed="81"/>
      <name val="Tahoma"/>
      <family val="2"/>
    </font>
    <font>
      <sz val="18"/>
      <name val="Arial"/>
      <family val="2"/>
    </font>
    <font>
      <i/>
      <sz val="12"/>
      <name val="Arial"/>
      <family val="2"/>
    </font>
    <font>
      <sz val="16"/>
      <name val="Wingdings"/>
      <charset val="2"/>
    </font>
    <font>
      <sz val="11"/>
      <color theme="4"/>
      <name val="Arial"/>
      <family val="2"/>
    </font>
    <font>
      <sz val="11"/>
      <color theme="1"/>
      <name val="Calibri"/>
      <family val="2"/>
      <scheme val="minor"/>
    </font>
    <font>
      <sz val="10"/>
      <color theme="1"/>
      <name val="Arial"/>
      <family val="2"/>
    </font>
  </fonts>
  <fills count="20">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C000"/>
        <bgColor indexed="64"/>
      </patternFill>
    </fill>
    <fill>
      <patternFill patternType="solid">
        <fgColor theme="5" tint="0.59999389629810485"/>
        <bgColor indexed="64"/>
      </patternFill>
    </fill>
    <fill>
      <patternFill patternType="solid">
        <fgColor rgb="FFCCFFCC"/>
        <bgColor indexed="64"/>
      </patternFill>
    </fill>
    <fill>
      <patternFill patternType="solid">
        <fgColor rgb="FFE3E3E3"/>
        <bgColor indexed="64"/>
      </patternFill>
    </fill>
  </fills>
  <borders count="71">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thin">
        <color indexed="64"/>
      </left>
      <right/>
      <top/>
      <bottom style="hair">
        <color indexed="64"/>
      </bottom>
      <diagonal/>
    </border>
    <border>
      <left/>
      <right style="hair">
        <color indexed="64"/>
      </right>
      <top/>
      <bottom/>
      <diagonal/>
    </border>
    <border>
      <left/>
      <right style="hair">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0" fontId="19" fillId="0" borderId="0" applyNumberFormat="0" applyFill="0" applyBorder="0" applyAlignment="0" applyProtection="0">
      <alignment vertical="top"/>
      <protection locked="0"/>
    </xf>
    <xf numFmtId="9" fontId="1" fillId="0" borderId="0" applyFont="0" applyFill="0" applyBorder="0" applyAlignment="0" applyProtection="0"/>
    <xf numFmtId="0" fontId="68" fillId="0" borderId="0"/>
  </cellStyleXfs>
  <cellXfs count="739">
    <xf numFmtId="0" fontId="0" fillId="0" borderId="0" xfId="0"/>
    <xf numFmtId="0" fontId="0" fillId="0" borderId="0" xfId="0" applyAlignment="1">
      <alignment vertical="center"/>
    </xf>
    <xf numFmtId="0" fontId="0" fillId="0" borderId="0" xfId="0" applyAlignment="1">
      <alignment horizontal="center" vertical="center"/>
    </xf>
    <xf numFmtId="0" fontId="5" fillId="0" borderId="0" xfId="0" applyFont="1" applyFill="1" applyBorder="1" applyAlignment="1">
      <alignment horizontal="center"/>
    </xf>
    <xf numFmtId="0" fontId="0" fillId="0" borderId="0" xfId="0" applyFill="1" applyBorder="1" applyAlignment="1">
      <alignment vertical="center"/>
    </xf>
    <xf numFmtId="0" fontId="2" fillId="0" borderId="0" xfId="0" applyFont="1" applyFill="1" applyBorder="1" applyAlignment="1">
      <alignment horizontal="center" vertical="center"/>
    </xf>
    <xf numFmtId="1" fontId="2"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8" fillId="0" borderId="0" xfId="0" applyFont="1" applyBorder="1"/>
    <xf numFmtId="165" fontId="5" fillId="0" borderId="0" xfId="0" applyNumberFormat="1" applyFont="1" applyFill="1" applyBorder="1" applyAlignment="1">
      <alignment horizontal="center"/>
    </xf>
    <xf numFmtId="0" fontId="2" fillId="0" borderId="0" xfId="0" applyFont="1" applyBorder="1"/>
    <xf numFmtId="0" fontId="0" fillId="0" borderId="0" xfId="0" applyProtection="1"/>
    <xf numFmtId="0" fontId="0" fillId="0" borderId="0" xfId="0" applyAlignment="1" applyProtection="1">
      <alignment vertical="center"/>
    </xf>
    <xf numFmtId="0" fontId="2" fillId="0" borderId="0" xfId="0" applyFont="1" applyAlignment="1" applyProtection="1">
      <alignment vertical="center"/>
    </xf>
    <xf numFmtId="0" fontId="0" fillId="0" borderId="0" xfId="0" applyBorder="1" applyAlignment="1" applyProtection="1">
      <alignment vertical="center"/>
    </xf>
    <xf numFmtId="0" fontId="2" fillId="0" borderId="0" xfId="0" applyFont="1" applyProtection="1"/>
    <xf numFmtId="0" fontId="8" fillId="0" borderId="0" xfId="0" applyFont="1" applyBorder="1" applyProtection="1"/>
    <xf numFmtId="0" fontId="5" fillId="0" borderId="0" xfId="0" applyFont="1" applyFill="1" applyBorder="1" applyAlignment="1" applyProtection="1">
      <alignment horizontal="center"/>
    </xf>
    <xf numFmtId="0" fontId="2"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Border="1" applyAlignment="1" applyProtection="1">
      <alignment vertical="center"/>
    </xf>
    <xf numFmtId="0" fontId="7" fillId="0" borderId="0" xfId="0" applyFont="1" applyBorder="1" applyAlignment="1" applyProtection="1">
      <alignment horizontal="center" vertical="center"/>
    </xf>
    <xf numFmtId="1" fontId="7" fillId="0" borderId="0" xfId="0" applyNumberFormat="1" applyFont="1" applyBorder="1" applyAlignment="1" applyProtection="1">
      <alignment horizontal="center" vertical="center"/>
    </xf>
    <xf numFmtId="1" fontId="7" fillId="0" borderId="0" xfId="0" applyNumberFormat="1" applyFont="1" applyBorder="1" applyAlignment="1" applyProtection="1">
      <alignment horizontal="centerContinuous" vertical="center"/>
    </xf>
    <xf numFmtId="0" fontId="7" fillId="0" borderId="0" xfId="0" applyFont="1" applyBorder="1" applyAlignment="1" applyProtection="1">
      <alignment horizontal="centerContinuous" vertical="center"/>
    </xf>
    <xf numFmtId="0" fontId="8" fillId="0" borderId="0" xfId="0" applyFont="1" applyFill="1" applyBorder="1" applyProtection="1"/>
    <xf numFmtId="0" fontId="7" fillId="0" borderId="0" xfId="0" applyFont="1" applyFill="1" applyBorder="1" applyAlignment="1" applyProtection="1">
      <alignment horizontal="center"/>
    </xf>
    <xf numFmtId="0" fontId="13" fillId="0" borderId="0" xfId="0" applyFont="1" applyFill="1" applyBorder="1" applyProtection="1"/>
    <xf numFmtId="0" fontId="13" fillId="0" borderId="0" xfId="0" applyFont="1" applyFill="1" applyBorder="1" applyAlignment="1" applyProtection="1">
      <alignment horizontal="center"/>
    </xf>
    <xf numFmtId="1" fontId="13" fillId="0" borderId="0" xfId="0" applyNumberFormat="1" applyFont="1" applyFill="1" applyBorder="1" applyAlignment="1" applyProtection="1">
      <alignment horizontal="center"/>
    </xf>
    <xf numFmtId="1" fontId="13" fillId="0" borderId="0" xfId="0" applyNumberFormat="1" applyFont="1" applyFill="1" applyBorder="1" applyAlignment="1" applyProtection="1">
      <alignment horizontal="centerContinuous"/>
    </xf>
    <xf numFmtId="0" fontId="14" fillId="0" borderId="0" xfId="0" applyFont="1" applyFill="1" applyBorder="1" applyAlignment="1" applyProtection="1">
      <alignment horizontal="centerContinuous"/>
    </xf>
    <xf numFmtId="0" fontId="15" fillId="0" borderId="0" xfId="0" applyFont="1"/>
    <xf numFmtId="0" fontId="15" fillId="0" borderId="0" xfId="0" applyFont="1" applyBorder="1" applyProtection="1"/>
    <xf numFmtId="0" fontId="5" fillId="0" borderId="0" xfId="0" applyFont="1"/>
    <xf numFmtId="0" fontId="0" fillId="0" borderId="0" xfId="0"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2" fillId="0" borderId="0" xfId="0" applyFont="1"/>
    <xf numFmtId="0" fontId="6" fillId="0" borderId="0" xfId="0" applyFont="1"/>
    <xf numFmtId="0" fontId="20" fillId="0" borderId="0" xfId="0" applyFont="1" applyAlignment="1">
      <alignment horizontal="left" vertical="center"/>
    </xf>
    <xf numFmtId="0" fontId="20" fillId="0" borderId="0" xfId="0" applyFont="1"/>
    <xf numFmtId="0" fontId="20" fillId="0" borderId="0" xfId="0" applyFont="1" applyAlignment="1">
      <alignment vertical="center"/>
    </xf>
    <xf numFmtId="0" fontId="3" fillId="0" borderId="0" xfId="0" applyFont="1" applyAlignment="1" applyProtection="1">
      <alignment vertical="center"/>
    </xf>
    <xf numFmtId="0" fontId="3" fillId="0" borderId="0" xfId="0" applyFont="1" applyAlignment="1">
      <alignment vertical="center"/>
    </xf>
    <xf numFmtId="0" fontId="3" fillId="0" borderId="0" xfId="0" applyFont="1"/>
    <xf numFmtId="0" fontId="3" fillId="0" borderId="0" xfId="0" applyFont="1" applyProtection="1"/>
    <xf numFmtId="0" fontId="2" fillId="0" borderId="0" xfId="0" applyFont="1" applyAlignment="1">
      <alignment vertical="center"/>
    </xf>
    <xf numFmtId="0" fontId="5" fillId="0" borderId="0" xfId="0" applyFont="1" applyProtection="1"/>
    <xf numFmtId="2" fontId="22" fillId="2" borderId="12" xfId="0" applyNumberFormat="1" applyFont="1" applyFill="1" applyBorder="1" applyAlignment="1" applyProtection="1">
      <alignment horizontal="center"/>
      <protection locked="0"/>
    </xf>
    <xf numFmtId="166" fontId="23" fillId="0" borderId="0" xfId="0" applyNumberFormat="1" applyFont="1" applyFill="1" applyBorder="1" applyAlignment="1" applyProtection="1">
      <alignment horizontal="center"/>
    </xf>
    <xf numFmtId="0" fontId="15" fillId="0" borderId="0" xfId="0" applyFont="1" applyBorder="1" applyAlignment="1" applyProtection="1">
      <alignment vertical="center"/>
    </xf>
    <xf numFmtId="1" fontId="23" fillId="0" borderId="0" xfId="0" applyNumberFormat="1" applyFont="1" applyFill="1" applyBorder="1" applyAlignment="1" applyProtection="1">
      <alignment horizontal="center"/>
    </xf>
    <xf numFmtId="0" fontId="2" fillId="0" borderId="0" xfId="0" applyFont="1" applyAlignment="1" applyProtection="1">
      <alignment horizontal="right" vertical="center"/>
    </xf>
    <xf numFmtId="3" fontId="0" fillId="0" borderId="0" xfId="0" applyNumberFormat="1" applyAlignment="1" applyProtection="1">
      <alignment vertical="center"/>
    </xf>
    <xf numFmtId="166" fontId="20" fillId="0" borderId="0" xfId="0" applyNumberFormat="1" applyFont="1" applyAlignment="1" applyProtection="1">
      <alignment horizontal="right" vertical="center"/>
    </xf>
    <xf numFmtId="2" fontId="2" fillId="0" borderId="0" xfId="0" applyNumberFormat="1" applyFont="1" applyFill="1" applyBorder="1" applyAlignment="1">
      <alignment horizontal="right" vertical="center"/>
    </xf>
    <xf numFmtId="1" fontId="2" fillId="0" borderId="0" xfId="0" applyNumberFormat="1" applyFont="1"/>
    <xf numFmtId="0" fontId="2" fillId="0" borderId="0" xfId="0" applyFont="1" applyAlignment="1">
      <alignment horizontal="center" vertical="center"/>
    </xf>
    <xf numFmtId="1" fontId="2" fillId="0" borderId="0" xfId="0" applyNumberFormat="1" applyFont="1" applyAlignment="1">
      <alignment horizontal="right" vertical="center"/>
    </xf>
    <xf numFmtId="3" fontId="2" fillId="0" borderId="0" xfId="0" applyNumberFormat="1" applyFont="1"/>
    <xf numFmtId="0" fontId="20" fillId="0" borderId="0" xfId="0" applyFont="1" applyProtection="1"/>
    <xf numFmtId="1" fontId="20" fillId="0" borderId="0" xfId="0" applyNumberFormat="1" applyFont="1" applyAlignment="1">
      <alignment horizontal="right"/>
    </xf>
    <xf numFmtId="2" fontId="20" fillId="0" borderId="0" xfId="0" applyNumberFormat="1" applyFont="1"/>
    <xf numFmtId="0" fontId="20" fillId="0" borderId="0" xfId="0" applyFont="1" applyAlignment="1" applyProtection="1">
      <alignment vertical="center"/>
    </xf>
    <xf numFmtId="2" fontId="2" fillId="0" borderId="0" xfId="0" applyNumberFormat="1" applyFont="1" applyAlignment="1">
      <alignment vertical="center"/>
    </xf>
    <xf numFmtId="0" fontId="20" fillId="0" borderId="0" xfId="0" applyFont="1" applyAlignment="1">
      <alignment horizontal="right" vertical="center"/>
    </xf>
    <xf numFmtId="9" fontId="2" fillId="0" borderId="0" xfId="2" applyNumberFormat="1" applyFont="1" applyAlignment="1">
      <alignment vertical="center"/>
    </xf>
    <xf numFmtId="0" fontId="26" fillId="0" borderId="0" xfId="0" applyFont="1" applyAlignment="1" applyProtection="1">
      <alignment vertical="center"/>
    </xf>
    <xf numFmtId="168" fontId="26" fillId="0" borderId="0" xfId="0" applyNumberFormat="1" applyFont="1" applyAlignment="1" applyProtection="1">
      <alignment vertical="center"/>
    </xf>
    <xf numFmtId="4" fontId="0" fillId="0" borderId="0" xfId="0" applyNumberFormat="1" applyAlignment="1" applyProtection="1">
      <alignment vertical="center"/>
    </xf>
    <xf numFmtId="167" fontId="0" fillId="0" borderId="0" xfId="0" applyNumberFormat="1" applyAlignment="1" applyProtection="1">
      <alignment vertical="center"/>
    </xf>
    <xf numFmtId="0" fontId="24" fillId="0" borderId="0" xfId="0" applyFont="1" applyAlignment="1" applyProtection="1">
      <alignment vertical="center"/>
    </xf>
    <xf numFmtId="0" fontId="27" fillId="0" borderId="0" xfId="0" applyFont="1" applyAlignment="1" applyProtection="1">
      <alignment horizontal="right" vertical="center"/>
    </xf>
    <xf numFmtId="0" fontId="0" fillId="5" borderId="0" xfId="0" applyFill="1" applyProtection="1"/>
    <xf numFmtId="0" fontId="2" fillId="5" borderId="0" xfId="0" applyFont="1" applyFill="1" applyProtection="1"/>
    <xf numFmtId="0" fontId="22" fillId="5" borderId="11" xfId="0" applyFont="1" applyFill="1" applyBorder="1" applyAlignment="1" applyProtection="1"/>
    <xf numFmtId="0" fontId="22" fillId="5" borderId="9" xfId="0" applyFont="1" applyFill="1" applyBorder="1" applyAlignment="1" applyProtection="1"/>
    <xf numFmtId="0" fontId="22" fillId="5" borderId="11" xfId="0" applyFont="1" applyFill="1" applyBorder="1" applyProtection="1"/>
    <xf numFmtId="0" fontId="22" fillId="5" borderId="9" xfId="0" applyFont="1" applyFill="1" applyBorder="1"/>
    <xf numFmtId="0" fontId="22" fillId="5" borderId="3" xfId="0" applyFont="1" applyFill="1" applyBorder="1" applyProtection="1"/>
    <xf numFmtId="0" fontId="22" fillId="5" borderId="8" xfId="0" applyFont="1" applyFill="1" applyBorder="1" applyAlignment="1" applyProtection="1"/>
    <xf numFmtId="0" fontId="22" fillId="5" borderId="19" xfId="0" applyFont="1" applyFill="1" applyBorder="1" applyAlignment="1" applyProtection="1"/>
    <xf numFmtId="0" fontId="22" fillId="5" borderId="5" xfId="0" applyFont="1" applyFill="1" applyBorder="1" applyProtection="1"/>
    <xf numFmtId="0" fontId="22" fillId="5" borderId="8" xfId="0" applyFont="1" applyFill="1" applyBorder="1" applyProtection="1"/>
    <xf numFmtId="0" fontId="22" fillId="5" borderId="12" xfId="0" applyFont="1" applyFill="1" applyBorder="1" applyProtection="1"/>
    <xf numFmtId="0" fontId="22" fillId="5" borderId="7" xfId="0" applyFont="1" applyFill="1" applyBorder="1" applyAlignment="1" applyProtection="1"/>
    <xf numFmtId="0" fontId="22" fillId="5" borderId="0" xfId="0" applyFont="1" applyFill="1" applyBorder="1" applyAlignment="1" applyProtection="1"/>
    <xf numFmtId="0" fontId="22" fillId="5" borderId="7" xfId="0" applyFont="1" applyFill="1" applyBorder="1" applyProtection="1"/>
    <xf numFmtId="0" fontId="22" fillId="5" borderId="0" xfId="0" applyFont="1" applyFill="1" applyBorder="1"/>
    <xf numFmtId="0" fontId="22" fillId="5" borderId="4" xfId="0" applyFont="1" applyFill="1" applyBorder="1" applyProtection="1"/>
    <xf numFmtId="166" fontId="22" fillId="2" borderId="1" xfId="0" applyNumberFormat="1" applyFont="1" applyFill="1" applyBorder="1" applyAlignment="1" applyProtection="1">
      <alignment horizontal="center"/>
      <protection locked="0"/>
    </xf>
    <xf numFmtId="0" fontId="20" fillId="5" borderId="0" xfId="0" applyFont="1" applyFill="1" applyAlignment="1" applyProtection="1">
      <alignment horizontal="right"/>
    </xf>
    <xf numFmtId="0" fontId="5" fillId="0" borderId="0" xfId="0" applyFont="1" applyAlignment="1">
      <alignment horizontal="right" vertical="center"/>
    </xf>
    <xf numFmtId="167" fontId="22" fillId="2" borderId="14" xfId="2" applyNumberFormat="1" applyFont="1" applyFill="1" applyBorder="1" applyAlignment="1" applyProtection="1">
      <alignment horizontal="center"/>
      <protection locked="0"/>
    </xf>
    <xf numFmtId="167" fontId="22" fillId="2" borderId="1" xfId="2" applyNumberFormat="1" applyFont="1" applyFill="1" applyBorder="1" applyAlignment="1" applyProtection="1">
      <alignment horizontal="center"/>
      <protection locked="0"/>
    </xf>
    <xf numFmtId="167" fontId="22" fillId="2" borderId="15" xfId="2" applyNumberFormat="1" applyFont="1" applyFill="1" applyBorder="1" applyAlignment="1" applyProtection="1">
      <alignment horizontal="center"/>
      <protection locked="0"/>
    </xf>
    <xf numFmtId="167" fontId="22" fillId="0" borderId="35" xfId="2" applyNumberFormat="1" applyFont="1" applyFill="1" applyBorder="1" applyAlignment="1" applyProtection="1">
      <alignment horizontal="center"/>
    </xf>
    <xf numFmtId="165" fontId="22" fillId="0" borderId="0" xfId="0" applyNumberFormat="1" applyFont="1" applyAlignment="1" applyProtection="1">
      <alignment horizontal="center"/>
    </xf>
    <xf numFmtId="167" fontId="22" fillId="0" borderId="37" xfId="2" applyNumberFormat="1" applyFont="1" applyFill="1" applyBorder="1" applyAlignment="1" applyProtection="1">
      <alignment horizontal="center"/>
    </xf>
    <xf numFmtId="167" fontId="22" fillId="0" borderId="28" xfId="2" applyNumberFormat="1" applyFont="1" applyFill="1" applyBorder="1" applyAlignment="1" applyProtection="1">
      <alignment horizontal="center"/>
    </xf>
    <xf numFmtId="0" fontId="31" fillId="0" borderId="0" xfId="0" applyFont="1" applyBorder="1" applyProtection="1"/>
    <xf numFmtId="0" fontId="32" fillId="0" borderId="0" xfId="0" applyFont="1" applyProtection="1"/>
    <xf numFmtId="164" fontId="33" fillId="0" borderId="26" xfId="0" applyNumberFormat="1" applyFont="1" applyFill="1" applyBorder="1" applyAlignment="1" applyProtection="1">
      <alignment horizontal="center"/>
    </xf>
    <xf numFmtId="164" fontId="33" fillId="0" borderId="36" xfId="0" applyNumberFormat="1" applyFont="1" applyFill="1" applyBorder="1" applyAlignment="1" applyProtection="1">
      <alignment horizontal="center"/>
    </xf>
    <xf numFmtId="1" fontId="0" fillId="8" borderId="1" xfId="0" applyNumberFormat="1" applyFill="1" applyBorder="1" applyAlignment="1" applyProtection="1">
      <alignment horizontal="center"/>
    </xf>
    <xf numFmtId="0" fontId="1" fillId="5" borderId="7" xfId="0" applyFont="1" applyFill="1" applyBorder="1" applyAlignment="1" applyProtection="1"/>
    <xf numFmtId="0" fontId="42" fillId="0" borderId="0" xfId="0" applyFont="1" applyAlignment="1" applyProtection="1">
      <alignment horizontal="left" vertical="center"/>
    </xf>
    <xf numFmtId="0" fontId="42" fillId="0" borderId="0" xfId="0" applyFont="1" applyAlignment="1" applyProtection="1">
      <alignment horizontal="right" vertical="center"/>
    </xf>
    <xf numFmtId="0" fontId="42" fillId="0" borderId="0" xfId="0" applyFont="1" applyAlignment="1">
      <alignment horizontal="right" vertical="center"/>
    </xf>
    <xf numFmtId="0" fontId="42" fillId="0" borderId="13" xfId="0" applyFont="1" applyFill="1" applyBorder="1" applyAlignment="1">
      <alignment horizontal="center"/>
    </xf>
    <xf numFmtId="0" fontId="0" fillId="9" borderId="0" xfId="0" applyFill="1" applyAlignment="1">
      <alignment vertical="center"/>
    </xf>
    <xf numFmtId="0" fontId="0" fillId="9" borderId="0" xfId="0" applyFill="1"/>
    <xf numFmtId="0" fontId="1" fillId="9" borderId="0" xfId="0" applyFont="1" applyFill="1" applyAlignment="1">
      <alignment vertical="center"/>
    </xf>
    <xf numFmtId="0" fontId="1" fillId="9" borderId="0" xfId="0" applyFont="1" applyFill="1"/>
    <xf numFmtId="167" fontId="22" fillId="0" borderId="0" xfId="2" applyNumberFormat="1" applyFont="1" applyFill="1" applyBorder="1" applyAlignment="1" applyProtection="1">
      <alignment horizontal="center"/>
    </xf>
    <xf numFmtId="164" fontId="33" fillId="0" borderId="0" xfId="0" applyNumberFormat="1" applyFont="1" applyFill="1" applyBorder="1" applyAlignment="1" applyProtection="1">
      <alignment horizontal="center"/>
    </xf>
    <xf numFmtId="0" fontId="2" fillId="10" borderId="0" xfId="0" applyFont="1" applyFill="1" applyProtection="1"/>
    <xf numFmtId="0" fontId="2" fillId="10" borderId="0" xfId="0" applyFont="1" applyFill="1" applyAlignment="1" applyProtection="1">
      <alignment horizontal="right"/>
    </xf>
    <xf numFmtId="0" fontId="0" fillId="10" borderId="0" xfId="0" applyFill="1"/>
    <xf numFmtId="0" fontId="0" fillId="10" borderId="0" xfId="0" applyFill="1" applyProtection="1"/>
    <xf numFmtId="0" fontId="0" fillId="10" borderId="0" xfId="0" applyFill="1" applyAlignment="1">
      <alignment vertical="center"/>
    </xf>
    <xf numFmtId="2" fontId="22" fillId="2" borderId="1" xfId="0" applyNumberFormat="1" applyFont="1" applyFill="1" applyBorder="1" applyAlignment="1" applyProtection="1">
      <alignment horizontal="center"/>
      <protection locked="0"/>
    </xf>
    <xf numFmtId="0" fontId="22" fillId="5" borderId="0" xfId="0" applyFont="1" applyFill="1" applyBorder="1" applyAlignment="1" applyProtection="1">
      <alignment horizontal="left"/>
    </xf>
    <xf numFmtId="0" fontId="28" fillId="5" borderId="0" xfId="0" applyFont="1" applyFill="1" applyBorder="1" applyAlignment="1" applyProtection="1"/>
    <xf numFmtId="0" fontId="0" fillId="4" borderId="0" xfId="0" applyFill="1" applyBorder="1" applyAlignment="1">
      <alignment vertical="center"/>
    </xf>
    <xf numFmtId="0" fontId="0" fillId="4" borderId="0" xfId="0" applyFill="1" applyBorder="1" applyAlignment="1">
      <alignment horizontal="center" vertical="center"/>
    </xf>
    <xf numFmtId="0" fontId="36" fillId="4" borderId="11" xfId="0" applyFont="1" applyFill="1" applyBorder="1" applyAlignment="1">
      <alignment horizontal="left" vertical="center"/>
    </xf>
    <xf numFmtId="0" fontId="36" fillId="4" borderId="9" xfId="0" applyFont="1" applyFill="1" applyBorder="1" applyAlignment="1">
      <alignment horizontal="left" vertical="center"/>
    </xf>
    <xf numFmtId="0" fontId="36" fillId="4" borderId="3" xfId="0" applyFont="1" applyFill="1" applyBorder="1" applyAlignment="1">
      <alignment horizontal="left" vertical="center"/>
    </xf>
    <xf numFmtId="0" fontId="36" fillId="4" borderId="7" xfId="0" applyFont="1" applyFill="1" applyBorder="1" applyAlignment="1">
      <alignment horizontal="left" vertical="center"/>
    </xf>
    <xf numFmtId="0" fontId="0" fillId="4" borderId="4" xfId="0" applyFill="1" applyBorder="1" applyAlignment="1">
      <alignment horizontal="center" vertical="center"/>
    </xf>
    <xf numFmtId="0" fontId="22" fillId="0" borderId="0" xfId="0" applyFont="1" applyFill="1" applyBorder="1" applyAlignment="1" applyProtection="1"/>
    <xf numFmtId="0" fontId="22" fillId="0" borderId="0" xfId="0" applyFont="1" applyFill="1" applyBorder="1" applyProtection="1"/>
    <xf numFmtId="0" fontId="0" fillId="0" borderId="0" xfId="0" applyFill="1"/>
    <xf numFmtId="0" fontId="0" fillId="0" borderId="0" xfId="0" applyFill="1" applyAlignment="1">
      <alignment vertical="center"/>
    </xf>
    <xf numFmtId="0" fontId="2" fillId="0" borderId="19" xfId="0" applyFont="1" applyBorder="1" applyAlignment="1" applyProtection="1">
      <alignment horizontal="right"/>
    </xf>
    <xf numFmtId="0" fontId="2" fillId="0" borderId="19" xfId="0" applyFont="1" applyBorder="1" applyAlignment="1" applyProtection="1">
      <alignment horizontal="left"/>
    </xf>
    <xf numFmtId="0" fontId="0" fillId="0" borderId="19" xfId="0" applyBorder="1" applyAlignment="1" applyProtection="1">
      <alignment vertical="center"/>
    </xf>
    <xf numFmtId="167" fontId="2" fillId="0" borderId="0" xfId="2" applyNumberFormat="1" applyFont="1" applyAlignment="1">
      <alignment vertical="center"/>
    </xf>
    <xf numFmtId="9" fontId="0" fillId="0" borderId="0" xfId="2" applyFont="1" applyAlignment="1">
      <alignment vertical="center"/>
    </xf>
    <xf numFmtId="0" fontId="1" fillId="0" borderId="0" xfId="0" applyFont="1"/>
    <xf numFmtId="0" fontId="1" fillId="0" borderId="0" xfId="0" applyFont="1" applyAlignment="1">
      <alignment vertical="center" wrapText="1"/>
    </xf>
    <xf numFmtId="0" fontId="11" fillId="0" borderId="0" xfId="0" applyFont="1" applyFill="1" applyBorder="1" applyAlignment="1" applyProtection="1">
      <alignment horizontal="left" vertical="center"/>
    </xf>
    <xf numFmtId="0" fontId="20" fillId="5" borderId="0" xfId="0" applyFont="1" applyFill="1" applyAlignment="1" applyProtection="1">
      <alignment horizontal="right" vertical="center"/>
    </xf>
    <xf numFmtId="14" fontId="20" fillId="2" borderId="33" xfId="0" applyNumberFormat="1" applyFont="1" applyFill="1" applyBorder="1" applyAlignment="1" applyProtection="1">
      <alignment horizontal="center" vertical="center"/>
      <protection locked="0"/>
    </xf>
    <xf numFmtId="166" fontId="22" fillId="2" borderId="14" xfId="0" applyNumberFormat="1" applyFont="1" applyFill="1" applyBorder="1" applyAlignment="1" applyProtection="1">
      <alignment horizontal="center"/>
      <protection locked="0"/>
    </xf>
    <xf numFmtId="0" fontId="3" fillId="0" borderId="0"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vertical="center"/>
    </xf>
    <xf numFmtId="0" fontId="4" fillId="0" borderId="0" xfId="0" applyFont="1" applyBorder="1" applyAlignment="1">
      <alignment vertical="center"/>
    </xf>
    <xf numFmtId="0" fontId="4" fillId="4" borderId="7" xfId="0" applyFont="1" applyFill="1" applyBorder="1" applyAlignment="1">
      <alignment vertical="center"/>
    </xf>
    <xf numFmtId="0" fontId="3" fillId="4" borderId="0" xfId="0" applyFont="1" applyFill="1" applyBorder="1" applyAlignment="1">
      <alignment vertical="center"/>
    </xf>
    <xf numFmtId="0" fontId="3" fillId="4" borderId="0" xfId="0" applyFont="1" applyFill="1" applyBorder="1" applyAlignment="1">
      <alignment horizontal="center" vertical="center"/>
    </xf>
    <xf numFmtId="0" fontId="3" fillId="4" borderId="4" xfId="0" applyFont="1" applyFill="1" applyBorder="1" applyAlignment="1">
      <alignment horizontal="center" vertical="center"/>
    </xf>
    <xf numFmtId="0" fontId="3" fillId="11" borderId="7" xfId="0" applyFont="1" applyFill="1" applyBorder="1" applyAlignment="1">
      <alignment vertical="center"/>
    </xf>
    <xf numFmtId="0" fontId="3" fillId="11" borderId="0" xfId="0" applyFont="1" applyFill="1" applyBorder="1" applyAlignment="1">
      <alignment vertical="center"/>
    </xf>
    <xf numFmtId="0" fontId="3" fillId="11" borderId="8" xfId="0" applyFont="1" applyFill="1" applyBorder="1" applyAlignment="1">
      <alignment vertical="center"/>
    </xf>
    <xf numFmtId="0" fontId="3" fillId="11" borderId="19" xfId="0" applyFont="1" applyFill="1" applyBorder="1" applyAlignment="1">
      <alignment vertical="center"/>
    </xf>
    <xf numFmtId="0" fontId="44" fillId="6" borderId="13" xfId="0" applyFont="1" applyFill="1" applyBorder="1" applyAlignment="1" applyProtection="1">
      <alignment horizontal="center" vertical="center"/>
      <protection locked="0"/>
    </xf>
    <xf numFmtId="3" fontId="28" fillId="0" borderId="1" xfId="0" applyNumberFormat="1" applyFont="1" applyFill="1" applyBorder="1" applyAlignment="1" applyProtection="1">
      <alignment horizontal="center"/>
    </xf>
    <xf numFmtId="3" fontId="28" fillId="2" borderId="1" xfId="0" applyNumberFormat="1" applyFont="1" applyFill="1" applyBorder="1" applyAlignment="1" applyProtection="1">
      <alignment horizontal="center"/>
      <protection locked="0"/>
    </xf>
    <xf numFmtId="167" fontId="22" fillId="2" borderId="17" xfId="2" applyNumberFormat="1" applyFont="1" applyFill="1" applyBorder="1" applyAlignment="1" applyProtection="1">
      <alignment horizontal="center"/>
      <protection locked="0"/>
    </xf>
    <xf numFmtId="1" fontId="22" fillId="0" borderId="1" xfId="0" applyNumberFormat="1" applyFont="1" applyBorder="1" applyAlignment="1" applyProtection="1">
      <alignment horizontal="center"/>
    </xf>
    <xf numFmtId="0" fontId="22" fillId="2" borderId="1" xfId="0" applyFont="1" applyFill="1" applyBorder="1" applyAlignment="1" applyProtection="1">
      <alignment horizontal="center"/>
      <protection locked="0"/>
    </xf>
    <xf numFmtId="0" fontId="28" fillId="5" borderId="7" xfId="0" applyFont="1" applyFill="1" applyBorder="1" applyAlignment="1" applyProtection="1">
      <alignment horizontal="left"/>
    </xf>
    <xf numFmtId="0" fontId="22" fillId="5" borderId="7" xfId="0" applyFont="1" applyFill="1" applyBorder="1" applyAlignment="1" applyProtection="1">
      <alignment horizontal="left"/>
    </xf>
    <xf numFmtId="2" fontId="22" fillId="2" borderId="2" xfId="2" applyNumberFormat="1" applyFont="1" applyFill="1" applyBorder="1" applyAlignment="1" applyProtection="1">
      <alignment horizontal="center"/>
      <protection locked="0"/>
    </xf>
    <xf numFmtId="2" fontId="22" fillId="2" borderId="1" xfId="2" applyNumberFormat="1" applyFont="1" applyFill="1" applyBorder="1" applyAlignment="1" applyProtection="1">
      <alignment horizontal="center"/>
      <protection locked="0"/>
    </xf>
    <xf numFmtId="2" fontId="22" fillId="2" borderId="15" xfId="2" applyNumberFormat="1" applyFont="1" applyFill="1" applyBorder="1" applyAlignment="1" applyProtection="1">
      <alignment horizontal="center"/>
      <protection locked="0"/>
    </xf>
    <xf numFmtId="0" fontId="22" fillId="0" borderId="8" xfId="0" applyFont="1" applyBorder="1" applyAlignment="1" applyProtection="1">
      <alignment horizontal="left"/>
    </xf>
    <xf numFmtId="0" fontId="23" fillId="0" borderId="0" xfId="0" applyFont="1" applyAlignment="1" applyProtection="1">
      <alignment vertical="center"/>
    </xf>
    <xf numFmtId="0" fontId="24" fillId="0" borderId="0" xfId="0" applyFont="1" applyAlignment="1">
      <alignment vertical="center"/>
    </xf>
    <xf numFmtId="0" fontId="48" fillId="0" borderId="0" xfId="0" applyFont="1" applyAlignment="1" applyProtection="1">
      <alignment vertical="center"/>
    </xf>
    <xf numFmtId="167" fontId="22" fillId="10" borderId="0" xfId="2" applyNumberFormat="1" applyFont="1" applyFill="1" applyBorder="1" applyAlignment="1" applyProtection="1">
      <alignment horizontal="right"/>
    </xf>
    <xf numFmtId="0" fontId="22" fillId="10" borderId="0" xfId="2" applyNumberFormat="1" applyFont="1" applyFill="1" applyBorder="1" applyAlignment="1" applyProtection="1">
      <alignment horizontal="center"/>
    </xf>
    <xf numFmtId="1" fontId="22" fillId="0" borderId="1" xfId="0" applyNumberFormat="1" applyFont="1" applyFill="1" applyBorder="1" applyAlignment="1" applyProtection="1">
      <alignment horizontal="center"/>
    </xf>
    <xf numFmtId="166" fontId="22" fillId="5" borderId="17" xfId="0" applyNumberFormat="1" applyFont="1" applyFill="1" applyBorder="1" applyAlignment="1" applyProtection="1">
      <alignment horizontal="center"/>
    </xf>
    <xf numFmtId="0" fontId="0" fillId="0" borderId="45" xfId="0" applyBorder="1" applyAlignment="1">
      <alignment vertical="center"/>
    </xf>
    <xf numFmtId="0" fontId="0" fillId="0" borderId="47" xfId="0" applyBorder="1" applyAlignment="1">
      <alignment vertical="center"/>
    </xf>
    <xf numFmtId="2" fontId="2" fillId="0" borderId="47" xfId="0" applyNumberFormat="1" applyFont="1" applyBorder="1"/>
    <xf numFmtId="2" fontId="20" fillId="0" borderId="47" xfId="0" applyNumberFormat="1" applyFont="1" applyBorder="1"/>
    <xf numFmtId="1" fontId="22" fillId="2" borderId="1" xfId="0" applyNumberFormat="1" applyFont="1" applyFill="1" applyBorder="1" applyAlignment="1" applyProtection="1">
      <alignment horizontal="center"/>
      <protection locked="0"/>
    </xf>
    <xf numFmtId="165" fontId="49" fillId="0" borderId="0" xfId="0" applyNumberFormat="1" applyFont="1" applyAlignment="1" applyProtection="1">
      <alignment horizontal="center"/>
    </xf>
    <xf numFmtId="0" fontId="0" fillId="0" borderId="41" xfId="0" applyBorder="1" applyAlignment="1" applyProtection="1">
      <alignment vertical="center"/>
    </xf>
    <xf numFmtId="0" fontId="2" fillId="0" borderId="23" xfId="0" applyFont="1" applyBorder="1" applyProtection="1"/>
    <xf numFmtId="0" fontId="0" fillId="0" borderId="23" xfId="0" applyBorder="1" applyAlignment="1" applyProtection="1">
      <alignment vertical="center"/>
    </xf>
    <xf numFmtId="0" fontId="1" fillId="0" borderId="49" xfId="0" applyFont="1" applyBorder="1" applyAlignment="1" applyProtection="1">
      <alignment vertical="center"/>
    </xf>
    <xf numFmtId="0" fontId="1" fillId="5" borderId="6" xfId="0" applyFont="1" applyFill="1" applyBorder="1" applyAlignment="1" applyProtection="1"/>
    <xf numFmtId="0" fontId="1" fillId="5" borderId="25" xfId="0" applyFont="1" applyFill="1" applyBorder="1" applyAlignment="1" applyProtection="1"/>
    <xf numFmtId="0" fontId="1" fillId="5" borderId="0" xfId="0" applyFont="1" applyFill="1" applyBorder="1" applyAlignment="1" applyProtection="1"/>
    <xf numFmtId="0" fontId="1" fillId="5" borderId="6" xfId="0" applyFont="1" applyFill="1" applyBorder="1" applyAlignment="1"/>
    <xf numFmtId="0" fontId="1" fillId="5" borderId="7" xfId="0" applyFont="1" applyFill="1" applyBorder="1" applyAlignment="1"/>
    <xf numFmtId="0" fontId="1" fillId="5" borderId="8" xfId="0" applyFont="1" applyFill="1" applyBorder="1" applyAlignment="1" applyProtection="1"/>
    <xf numFmtId="0" fontId="45" fillId="5" borderId="0" xfId="0" applyFont="1" applyFill="1" applyBorder="1" applyAlignment="1" applyProtection="1">
      <alignment vertical="top" wrapText="1"/>
    </xf>
    <xf numFmtId="9" fontId="22" fillId="2" borderId="1" xfId="2" applyFont="1" applyFill="1" applyBorder="1" applyAlignment="1" applyProtection="1">
      <alignment horizontal="center"/>
      <protection locked="0"/>
    </xf>
    <xf numFmtId="0" fontId="1" fillId="0" borderId="0" xfId="0" applyFont="1" applyAlignment="1">
      <alignment vertical="center"/>
    </xf>
    <xf numFmtId="171" fontId="2" fillId="5" borderId="0" xfId="0" applyNumberFormat="1" applyFont="1" applyFill="1" applyBorder="1" applyAlignment="1" applyProtection="1">
      <alignment horizontal="right"/>
    </xf>
    <xf numFmtId="0" fontId="0" fillId="0" borderId="0" xfId="0" applyBorder="1" applyProtection="1"/>
    <xf numFmtId="0" fontId="1" fillId="5" borderId="22" xfId="0" applyFont="1" applyFill="1" applyBorder="1" applyAlignment="1" applyProtection="1">
      <alignment horizontal="right"/>
    </xf>
    <xf numFmtId="2" fontId="22" fillId="10" borderId="17" xfId="0" applyNumberFormat="1" applyFont="1" applyFill="1" applyBorder="1" applyAlignment="1" applyProtection="1">
      <alignment horizontal="center"/>
    </xf>
    <xf numFmtId="2" fontId="0" fillId="0" borderId="0" xfId="0" applyNumberFormat="1"/>
    <xf numFmtId="0" fontId="0" fillId="0" borderId="32" xfId="0" applyBorder="1" applyAlignment="1">
      <alignment vertical="center"/>
    </xf>
    <xf numFmtId="0" fontId="0" fillId="0" borderId="26" xfId="0" applyBorder="1" applyAlignment="1">
      <alignment vertical="center"/>
    </xf>
    <xf numFmtId="0" fontId="51" fillId="0" borderId="23" xfId="0" applyFont="1" applyBorder="1"/>
    <xf numFmtId="0" fontId="0" fillId="0" borderId="0" xfId="0" applyBorder="1"/>
    <xf numFmtId="2" fontId="0" fillId="0" borderId="0" xfId="0" applyNumberFormat="1" applyBorder="1"/>
    <xf numFmtId="2" fontId="51" fillId="0" borderId="20" xfId="0" applyNumberFormat="1" applyFont="1" applyBorder="1"/>
    <xf numFmtId="0" fontId="0" fillId="0" borderId="23" xfId="0" applyBorder="1"/>
    <xf numFmtId="2" fontId="0" fillId="0" borderId="20" xfId="0" applyNumberFormat="1" applyBorder="1"/>
    <xf numFmtId="0" fontId="51" fillId="0" borderId="39" xfId="0" applyFont="1" applyBorder="1"/>
    <xf numFmtId="0" fontId="0" fillId="0" borderId="22" xfId="0" applyBorder="1"/>
    <xf numFmtId="2" fontId="0" fillId="0" borderId="22" xfId="0" applyNumberFormat="1" applyBorder="1"/>
    <xf numFmtId="2" fontId="0" fillId="0" borderId="16" xfId="0" applyNumberFormat="1" applyBorder="1"/>
    <xf numFmtId="0" fontId="1" fillId="0" borderId="40" xfId="0" applyFont="1" applyBorder="1" applyAlignment="1">
      <alignment vertical="center"/>
    </xf>
    <xf numFmtId="0" fontId="24" fillId="5" borderId="7" xfId="0" applyFont="1" applyFill="1" applyBorder="1" applyAlignment="1" applyProtection="1"/>
    <xf numFmtId="2" fontId="22" fillId="2" borderId="17" xfId="0" applyNumberFormat="1" applyFont="1" applyFill="1" applyBorder="1" applyAlignment="1" applyProtection="1">
      <alignment horizontal="center"/>
      <protection locked="0"/>
    </xf>
    <xf numFmtId="0" fontId="28" fillId="5" borderId="0" xfId="0" applyFont="1" applyFill="1" applyBorder="1" applyAlignment="1" applyProtection="1">
      <alignment horizontal="left"/>
    </xf>
    <xf numFmtId="0" fontId="1" fillId="5" borderId="11" xfId="0" applyFont="1" applyFill="1" applyBorder="1" applyAlignment="1" applyProtection="1"/>
    <xf numFmtId="0" fontId="1" fillId="0" borderId="7" xfId="0" applyFont="1" applyBorder="1" applyAlignment="1" applyProtection="1"/>
    <xf numFmtId="2" fontId="28" fillId="2" borderId="1" xfId="0" applyNumberFormat="1" applyFont="1" applyFill="1" applyBorder="1" applyAlignment="1" applyProtection="1">
      <alignment horizontal="center"/>
      <protection locked="0"/>
    </xf>
    <xf numFmtId="0" fontId="6" fillId="0" borderId="0" xfId="0" applyFont="1" applyAlignment="1">
      <alignment vertical="center"/>
    </xf>
    <xf numFmtId="2" fontId="22" fillId="2" borderId="22" xfId="0" applyNumberFormat="1" applyFont="1" applyFill="1" applyBorder="1" applyAlignment="1" applyProtection="1">
      <alignment horizontal="center"/>
      <protection locked="0"/>
    </xf>
    <xf numFmtId="2" fontId="22" fillId="0" borderId="15" xfId="0" applyNumberFormat="1" applyFont="1" applyFill="1" applyBorder="1" applyAlignment="1" applyProtection="1">
      <alignment horizontal="center"/>
    </xf>
    <xf numFmtId="0" fontId="3" fillId="9" borderId="0" xfId="0" applyFont="1" applyFill="1"/>
    <xf numFmtId="0" fontId="22" fillId="9" borderId="0" xfId="0" applyFont="1" applyFill="1"/>
    <xf numFmtId="0" fontId="5" fillId="9" borderId="0" xfId="0" applyFont="1" applyFill="1"/>
    <xf numFmtId="0" fontId="2" fillId="9" borderId="0" xfId="0" applyFont="1" applyFill="1" applyProtection="1"/>
    <xf numFmtId="0" fontId="28" fillId="2" borderId="2" xfId="0" applyFont="1" applyFill="1" applyBorder="1" applyAlignment="1" applyProtection="1">
      <alignment horizontal="center"/>
      <protection locked="0"/>
    </xf>
    <xf numFmtId="2" fontId="28" fillId="5" borderId="15" xfId="0" applyNumberFormat="1" applyFont="1" applyFill="1" applyBorder="1" applyAlignment="1" applyProtection="1">
      <alignment horizontal="center"/>
    </xf>
    <xf numFmtId="9" fontId="22" fillId="2" borderId="13" xfId="2" applyFont="1" applyFill="1" applyBorder="1" applyAlignment="1" applyProtection="1">
      <alignment horizontal="center"/>
      <protection locked="0"/>
    </xf>
    <xf numFmtId="0" fontId="1" fillId="0" borderId="6" xfId="0" applyFont="1" applyBorder="1" applyAlignment="1" applyProtection="1"/>
    <xf numFmtId="2" fontId="22" fillId="2" borderId="15" xfId="0" applyNumberFormat="1" applyFont="1" applyFill="1" applyBorder="1" applyAlignment="1" applyProtection="1">
      <alignment horizontal="center"/>
      <protection locked="0"/>
    </xf>
    <xf numFmtId="0" fontId="22" fillId="5" borderId="4" xfId="0" applyFont="1" applyFill="1" applyBorder="1" applyAlignment="1" applyProtection="1"/>
    <xf numFmtId="0" fontId="45" fillId="5" borderId="0" xfId="0" applyFont="1" applyFill="1" applyBorder="1" applyAlignment="1" applyProtection="1"/>
    <xf numFmtId="0" fontId="22" fillId="5" borderId="3" xfId="0" applyFont="1" applyFill="1" applyBorder="1" applyAlignment="1" applyProtection="1"/>
    <xf numFmtId="0" fontId="45" fillId="0" borderId="0" xfId="0" applyFont="1" applyFill="1" applyBorder="1" applyAlignment="1" applyProtection="1"/>
    <xf numFmtId="0" fontId="22" fillId="5" borderId="18" xfId="0" applyFont="1" applyFill="1" applyBorder="1" applyAlignment="1" applyProtection="1"/>
    <xf numFmtId="0" fontId="0" fillId="0" borderId="0" xfId="0" applyAlignment="1" applyProtection="1"/>
    <xf numFmtId="0" fontId="22" fillId="0" borderId="4" xfId="0" applyFont="1" applyFill="1" applyBorder="1" applyAlignment="1" applyProtection="1"/>
    <xf numFmtId="0" fontId="53" fillId="5" borderId="0" xfId="0" applyFont="1" applyFill="1" applyBorder="1" applyAlignment="1" applyProtection="1"/>
    <xf numFmtId="0" fontId="1" fillId="0" borderId="13" xfId="0" applyFont="1" applyBorder="1" applyAlignment="1" applyProtection="1">
      <alignment horizontal="center"/>
    </xf>
    <xf numFmtId="0" fontId="22" fillId="8" borderId="4" xfId="0" applyFont="1" applyFill="1" applyBorder="1" applyAlignment="1" applyProtection="1"/>
    <xf numFmtId="0" fontId="0" fillId="0" borderId="22" xfId="0" applyBorder="1" applyAlignment="1" applyProtection="1"/>
    <xf numFmtId="0" fontId="22" fillId="0" borderId="18" xfId="0" applyFont="1" applyBorder="1" applyAlignment="1" applyProtection="1"/>
    <xf numFmtId="0" fontId="1" fillId="0" borderId="0" xfId="0" applyFont="1" applyFill="1" applyBorder="1" applyAlignment="1" applyProtection="1"/>
    <xf numFmtId="0" fontId="1" fillId="5" borderId="22" xfId="0" applyFont="1" applyFill="1" applyBorder="1" applyAlignment="1" applyProtection="1"/>
    <xf numFmtId="0" fontId="0" fillId="0" borderId="0" xfId="0" applyBorder="1" applyAlignment="1" applyProtection="1"/>
    <xf numFmtId="0" fontId="22" fillId="0" borderId="4" xfId="0" applyFont="1" applyBorder="1" applyAlignment="1" applyProtection="1"/>
    <xf numFmtId="0" fontId="28" fillId="5" borderId="27" xfId="0" applyFont="1" applyFill="1" applyBorder="1" applyAlignment="1" applyProtection="1"/>
    <xf numFmtId="0" fontId="1" fillId="5" borderId="19" xfId="0" applyFont="1" applyFill="1" applyBorder="1" applyAlignment="1" applyProtection="1"/>
    <xf numFmtId="0" fontId="22" fillId="0" borderId="5" xfId="0" applyFont="1" applyBorder="1" applyAlignment="1"/>
    <xf numFmtId="0" fontId="0" fillId="0" borderId="19" xfId="0" applyBorder="1" applyAlignment="1" applyProtection="1"/>
    <xf numFmtId="0" fontId="28" fillId="0" borderId="5" xfId="0" applyFont="1" applyBorder="1" applyAlignment="1" applyProtection="1"/>
    <xf numFmtId="0" fontId="22" fillId="0" borderId="0" xfId="0" applyFont="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0" fillId="0" borderId="0" xfId="0" applyFill="1" applyBorder="1" applyAlignment="1" applyProtection="1"/>
    <xf numFmtId="0" fontId="0" fillId="0" borderId="2" xfId="0" applyBorder="1" applyAlignment="1">
      <alignment horizontal="center" vertical="center"/>
    </xf>
    <xf numFmtId="0" fontId="0" fillId="0" borderId="11" xfId="0"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14" borderId="24" xfId="0" applyFill="1" applyBorder="1" applyAlignment="1">
      <alignment horizontal="center" vertical="center"/>
    </xf>
    <xf numFmtId="0" fontId="0" fillId="14" borderId="15" xfId="0" applyFill="1" applyBorder="1" applyAlignment="1">
      <alignment horizontal="center" vertical="center"/>
    </xf>
    <xf numFmtId="0" fontId="0" fillId="14" borderId="35" xfId="0" applyFill="1" applyBorder="1" applyAlignment="1">
      <alignment horizontal="center" vertical="center"/>
    </xf>
    <xf numFmtId="0" fontId="57" fillId="5" borderId="0" xfId="0" applyFont="1" applyFill="1" applyBorder="1" applyAlignment="1" applyProtection="1"/>
    <xf numFmtId="0" fontId="20" fillId="0" borderId="0" xfId="0" applyFont="1" applyBorder="1" applyAlignment="1">
      <alignment vertical="center"/>
    </xf>
    <xf numFmtId="0" fontId="11" fillId="0" borderId="0" xfId="0" applyFont="1" applyFill="1" applyBorder="1" applyAlignment="1" applyProtection="1">
      <alignment horizontal="center" vertical="center"/>
    </xf>
    <xf numFmtId="0" fontId="9" fillId="5" borderId="11" xfId="0" applyFont="1" applyFill="1" applyBorder="1" applyAlignment="1" applyProtection="1">
      <alignment horizontal="left" vertical="center"/>
    </xf>
    <xf numFmtId="0" fontId="12" fillId="5" borderId="9" xfId="0" applyFont="1" applyFill="1" applyBorder="1" applyAlignment="1" applyProtection="1">
      <alignment vertical="center"/>
    </xf>
    <xf numFmtId="166" fontId="12" fillId="5" borderId="9" xfId="0" applyNumberFormat="1" applyFont="1" applyFill="1" applyBorder="1" applyAlignment="1" applyProtection="1">
      <alignment horizontal="left" vertical="center"/>
    </xf>
    <xf numFmtId="0" fontId="25" fillId="5" borderId="3" xfId="0" applyFont="1" applyFill="1" applyBorder="1" applyAlignment="1" applyProtection="1">
      <alignment vertical="center"/>
    </xf>
    <xf numFmtId="0" fontId="12" fillId="5" borderId="8" xfId="0" applyFont="1" applyFill="1" applyBorder="1" applyAlignment="1" applyProtection="1">
      <alignment vertical="center"/>
    </xf>
    <xf numFmtId="0" fontId="12" fillId="5" borderId="19" xfId="0" applyFont="1" applyFill="1" applyBorder="1" applyAlignment="1" applyProtection="1">
      <alignment vertical="center"/>
    </xf>
    <xf numFmtId="9" fontId="43" fillId="0" borderId="19" xfId="2" applyFont="1" applyBorder="1" applyAlignment="1" applyProtection="1">
      <alignment horizontal="left" vertical="center"/>
    </xf>
    <xf numFmtId="0" fontId="20" fillId="5" borderId="5" xfId="0" applyFont="1" applyFill="1" applyBorder="1" applyAlignment="1" applyProtection="1">
      <alignment horizontal="center" vertical="center"/>
    </xf>
    <xf numFmtId="9" fontId="9" fillId="6" borderId="12" xfId="2" applyFont="1" applyFill="1" applyBorder="1" applyAlignment="1" applyProtection="1">
      <alignment horizontal="center" vertical="center"/>
      <protection locked="0"/>
    </xf>
    <xf numFmtId="0" fontId="2" fillId="5" borderId="7" xfId="0" applyFont="1" applyFill="1" applyBorder="1" applyAlignment="1" applyProtection="1">
      <alignment vertical="center"/>
    </xf>
    <xf numFmtId="0" fontId="12" fillId="5" borderId="9" xfId="0" applyFont="1" applyFill="1" applyBorder="1" applyAlignment="1" applyProtection="1">
      <alignment horizontal="right" vertical="center"/>
    </xf>
    <xf numFmtId="9" fontId="43" fillId="0" borderId="9" xfId="2" applyFont="1" applyBorder="1" applyAlignment="1" applyProtection="1">
      <alignment vertical="center"/>
    </xf>
    <xf numFmtId="0" fontId="2" fillId="5" borderId="14" xfId="0" applyFont="1" applyFill="1" applyBorder="1" applyAlignment="1" applyProtection="1">
      <alignment horizontal="center" vertical="center"/>
    </xf>
    <xf numFmtId="1" fontId="2" fillId="6" borderId="14" xfId="0" applyNumberFormat="1" applyFont="1" applyFill="1" applyBorder="1" applyAlignment="1" applyProtection="1">
      <alignment horizontal="center" vertical="center"/>
      <protection locked="0"/>
    </xf>
    <xf numFmtId="1" fontId="2" fillId="6" borderId="10" xfId="0" applyNumberFormat="1" applyFont="1" applyFill="1" applyBorder="1" applyAlignment="1" applyProtection="1">
      <alignment horizontal="center" vertical="center"/>
      <protection locked="0"/>
    </xf>
    <xf numFmtId="0" fontId="12" fillId="5" borderId="0" xfId="0" applyFont="1" applyFill="1" applyBorder="1" applyAlignment="1" applyProtection="1">
      <alignment vertical="center"/>
    </xf>
    <xf numFmtId="9" fontId="43" fillId="0" borderId="0" xfId="2" applyFont="1" applyBorder="1" applyAlignment="1" applyProtection="1">
      <alignment horizontal="left" vertical="center"/>
    </xf>
    <xf numFmtId="0" fontId="2" fillId="5" borderId="1" xfId="0" applyFont="1" applyFill="1" applyBorder="1" applyAlignment="1" applyProtection="1">
      <alignment horizontal="center" vertical="center"/>
    </xf>
    <xf numFmtId="1" fontId="2" fillId="0" borderId="1" xfId="0" applyNumberFormat="1" applyFont="1" applyFill="1" applyBorder="1" applyAlignment="1" applyProtection="1">
      <alignment horizontal="center" vertical="center"/>
    </xf>
    <xf numFmtId="1" fontId="2" fillId="0" borderId="20" xfId="0" applyNumberFormat="1" applyFont="1" applyFill="1" applyBorder="1" applyAlignment="1" applyProtection="1">
      <alignment horizontal="center" vertical="center"/>
    </xf>
    <xf numFmtId="0" fontId="20" fillId="5" borderId="7" xfId="0" applyFont="1" applyFill="1" applyBorder="1" applyAlignment="1" applyProtection="1">
      <alignment vertical="center"/>
    </xf>
    <xf numFmtId="0" fontId="9" fillId="5" borderId="0" xfId="0" applyFont="1" applyFill="1" applyBorder="1" applyAlignment="1" applyProtection="1">
      <alignment vertical="center"/>
    </xf>
    <xf numFmtId="9" fontId="46" fillId="0" borderId="0" xfId="2" applyFont="1" applyBorder="1" applyAlignment="1" applyProtection="1">
      <alignment horizontal="left" vertical="center"/>
    </xf>
    <xf numFmtId="0" fontId="20" fillId="5" borderId="1" xfId="0" applyFont="1" applyFill="1" applyBorder="1" applyAlignment="1" applyProtection="1">
      <alignment horizontal="center" vertical="center"/>
    </xf>
    <xf numFmtId="1" fontId="20" fillId="0" borderId="1" xfId="0" applyNumberFormat="1" applyFont="1" applyFill="1" applyBorder="1" applyAlignment="1" applyProtection="1">
      <alignment horizontal="center" vertical="center"/>
    </xf>
    <xf numFmtId="1" fontId="20" fillId="0" borderId="20" xfId="0" applyNumberFormat="1" applyFont="1" applyFill="1" applyBorder="1" applyAlignment="1" applyProtection="1">
      <alignment horizontal="center" vertical="center"/>
    </xf>
    <xf numFmtId="0" fontId="2" fillId="5" borderId="55" xfId="0" applyFont="1" applyFill="1" applyBorder="1" applyAlignment="1" applyProtection="1">
      <alignment vertical="center"/>
    </xf>
    <xf numFmtId="0" fontId="12" fillId="5" borderId="45" xfId="0" applyFont="1" applyFill="1" applyBorder="1" applyAlignment="1" applyProtection="1">
      <alignment vertical="center"/>
    </xf>
    <xf numFmtId="9" fontId="43" fillId="0" borderId="45" xfId="2" applyFont="1" applyBorder="1" applyAlignment="1" applyProtection="1">
      <alignment horizontal="left" vertical="center"/>
    </xf>
    <xf numFmtId="0" fontId="2" fillId="5" borderId="43" xfId="0" applyFont="1" applyFill="1" applyBorder="1" applyAlignment="1" applyProtection="1">
      <alignment horizontal="center" vertical="center"/>
    </xf>
    <xf numFmtId="1" fontId="2" fillId="0" borderId="43" xfId="0" applyNumberFormat="1" applyFont="1" applyFill="1" applyBorder="1" applyAlignment="1" applyProtection="1">
      <alignment horizontal="center" vertical="center"/>
    </xf>
    <xf numFmtId="1" fontId="2" fillId="0" borderId="44" xfId="0" applyNumberFormat="1" applyFont="1" applyFill="1" applyBorder="1" applyAlignment="1" applyProtection="1">
      <alignment horizontal="center" vertical="center"/>
    </xf>
    <xf numFmtId="0" fontId="2" fillId="5" borderId="0" xfId="0" applyFont="1" applyFill="1" applyBorder="1" applyAlignment="1" applyProtection="1">
      <alignment vertical="center"/>
    </xf>
    <xf numFmtId="0" fontId="2" fillId="5" borderId="20" xfId="0" applyFont="1" applyFill="1" applyBorder="1" applyAlignment="1" applyProtection="1">
      <alignment vertical="center"/>
    </xf>
    <xf numFmtId="0" fontId="2" fillId="5" borderId="20" xfId="0" applyFont="1" applyFill="1" applyBorder="1" applyAlignment="1" applyProtection="1">
      <alignment horizontal="center" vertical="center"/>
    </xf>
    <xf numFmtId="3" fontId="2" fillId="5" borderId="20" xfId="0" applyNumberFormat="1" applyFont="1" applyFill="1" applyBorder="1" applyAlignment="1" applyProtection="1">
      <alignment horizontal="center" vertical="center"/>
    </xf>
    <xf numFmtId="2" fontId="2" fillId="0" borderId="20" xfId="0" applyNumberFormat="1" applyFont="1" applyFill="1" applyBorder="1" applyAlignment="1" applyProtection="1">
      <alignment horizontal="center" vertical="center"/>
    </xf>
    <xf numFmtId="1" fontId="2" fillId="5" borderId="20" xfId="0" applyNumberFormat="1" applyFont="1" applyFill="1" applyBorder="1" applyAlignment="1" applyProtection="1">
      <alignment horizontal="center" vertical="center"/>
    </xf>
    <xf numFmtId="0" fontId="20" fillId="5" borderId="6" xfId="0" applyFont="1" applyFill="1" applyBorder="1" applyAlignment="1" applyProtection="1">
      <alignment vertical="center"/>
    </xf>
    <xf numFmtId="0" fontId="20" fillId="5" borderId="22" xfId="0" applyFont="1" applyFill="1" applyBorder="1" applyAlignment="1" applyProtection="1">
      <alignment vertical="center"/>
    </xf>
    <xf numFmtId="0" fontId="20" fillId="5" borderId="16" xfId="0" applyFont="1" applyFill="1" applyBorder="1" applyAlignment="1" applyProtection="1">
      <alignment horizontal="right" vertical="center"/>
    </xf>
    <xf numFmtId="0" fontId="20" fillId="5" borderId="16" xfId="0" applyFont="1" applyFill="1" applyBorder="1" applyAlignment="1" applyProtection="1">
      <alignment horizontal="center" vertical="center"/>
    </xf>
    <xf numFmtId="3" fontId="20" fillId="5" borderId="16" xfId="0" applyNumberFormat="1" applyFont="1" applyFill="1" applyBorder="1" applyAlignment="1" applyProtection="1">
      <alignment horizontal="center" vertical="center"/>
    </xf>
    <xf numFmtId="166" fontId="2" fillId="5" borderId="20" xfId="0" applyNumberFormat="1" applyFont="1" applyFill="1" applyBorder="1" applyAlignment="1" applyProtection="1">
      <alignment horizontal="center" vertical="center"/>
    </xf>
    <xf numFmtId="0" fontId="2" fillId="5" borderId="6" xfId="0" applyFont="1" applyFill="1" applyBorder="1" applyAlignment="1" applyProtection="1">
      <alignment vertical="center"/>
    </xf>
    <xf numFmtId="0" fontId="2" fillId="5" borderId="22" xfId="0" applyFont="1" applyFill="1" applyBorder="1" applyAlignment="1" applyProtection="1">
      <alignment vertical="center"/>
    </xf>
    <xf numFmtId="0" fontId="2" fillId="5" borderId="16" xfId="0" applyFont="1" applyFill="1" applyBorder="1" applyAlignment="1" applyProtection="1">
      <alignment vertical="center"/>
    </xf>
    <xf numFmtId="0" fontId="2" fillId="5" borderId="16" xfId="0" applyFont="1" applyFill="1" applyBorder="1" applyAlignment="1" applyProtection="1">
      <alignment horizontal="center" vertical="center"/>
    </xf>
    <xf numFmtId="166" fontId="2" fillId="5" borderId="16" xfId="0" applyNumberFormat="1" applyFont="1" applyFill="1" applyBorder="1" applyAlignment="1" applyProtection="1">
      <alignment horizontal="center" vertical="center"/>
    </xf>
    <xf numFmtId="0" fontId="20" fillId="5" borderId="0" xfId="0" applyFont="1" applyFill="1" applyBorder="1" applyAlignment="1" applyProtection="1">
      <alignment vertical="center"/>
    </xf>
    <xf numFmtId="0" fontId="20" fillId="5" borderId="20" xfId="0" applyFont="1" applyFill="1" applyBorder="1" applyAlignment="1" applyProtection="1">
      <alignment horizontal="right" vertical="center"/>
    </xf>
    <xf numFmtId="0" fontId="20" fillId="5" borderId="20" xfId="0" applyFont="1" applyFill="1" applyBorder="1" applyAlignment="1" applyProtection="1">
      <alignment horizontal="center" vertical="center"/>
    </xf>
    <xf numFmtId="3" fontId="20" fillId="5" borderId="20" xfId="0" applyNumberFormat="1" applyFont="1" applyFill="1" applyBorder="1" applyAlignment="1" applyProtection="1">
      <alignment horizontal="center" vertical="center"/>
    </xf>
    <xf numFmtId="2" fontId="20" fillId="5" borderId="20" xfId="0" applyNumberFormat="1" applyFont="1" applyFill="1" applyBorder="1" applyAlignment="1" applyProtection="1">
      <alignment horizontal="center" vertical="center"/>
    </xf>
    <xf numFmtId="0" fontId="18" fillId="3" borderId="7" xfId="0" applyFont="1" applyFill="1" applyBorder="1" applyAlignment="1" applyProtection="1">
      <alignment vertical="center"/>
    </xf>
    <xf numFmtId="0" fontId="18" fillId="3" borderId="0" xfId="0" applyFont="1" applyFill="1" applyBorder="1" applyAlignment="1" applyProtection="1">
      <alignment vertical="center"/>
    </xf>
    <xf numFmtId="0" fontId="18" fillId="3" borderId="20" xfId="0" applyFont="1" applyFill="1" applyBorder="1" applyAlignment="1" applyProtection="1">
      <alignment horizontal="center" vertical="center"/>
    </xf>
    <xf numFmtId="170" fontId="18" fillId="3" borderId="20" xfId="0" applyNumberFormat="1" applyFont="1" applyFill="1" applyBorder="1" applyAlignment="1" applyProtection="1">
      <alignment horizontal="center" vertical="center"/>
    </xf>
    <xf numFmtId="0" fontId="17" fillId="3" borderId="6" xfId="0" applyFont="1" applyFill="1" applyBorder="1" applyAlignment="1" applyProtection="1">
      <alignment horizontal="left" vertical="center"/>
    </xf>
    <xf numFmtId="0" fontId="17" fillId="3" borderId="22" xfId="0" applyFont="1" applyFill="1" applyBorder="1" applyAlignment="1" applyProtection="1">
      <alignment horizontal="left" vertical="center"/>
    </xf>
    <xf numFmtId="0" fontId="17" fillId="3" borderId="16" xfId="0" applyFont="1" applyFill="1" applyBorder="1" applyAlignment="1" applyProtection="1">
      <alignment horizontal="left" vertical="center"/>
    </xf>
    <xf numFmtId="0" fontId="17" fillId="3" borderId="16" xfId="0" applyFont="1" applyFill="1" applyBorder="1" applyAlignment="1" applyProtection="1">
      <alignment horizontal="center" vertical="center"/>
    </xf>
    <xf numFmtId="9" fontId="17" fillId="3" borderId="16" xfId="2" applyFont="1" applyFill="1" applyBorder="1" applyAlignment="1" applyProtection="1">
      <alignment horizontal="center" vertical="center"/>
    </xf>
    <xf numFmtId="0" fontId="1" fillId="0" borderId="0" xfId="0" applyFont="1" applyAlignment="1" applyProtection="1">
      <alignment vertical="center"/>
    </xf>
    <xf numFmtId="171" fontId="2" fillId="5" borderId="20" xfId="0" applyNumberFormat="1" applyFont="1" applyFill="1" applyBorder="1" applyAlignment="1" applyProtection="1">
      <alignment horizontal="right" vertical="center"/>
    </xf>
    <xf numFmtId="172" fontId="2" fillId="5" borderId="0" xfId="0" applyNumberFormat="1" applyFont="1" applyFill="1" applyBorder="1" applyAlignment="1" applyProtection="1">
      <alignment vertical="center"/>
    </xf>
    <xf numFmtId="171" fontId="2" fillId="5" borderId="20" xfId="0" applyNumberFormat="1" applyFont="1" applyFill="1" applyBorder="1" applyAlignment="1" applyProtection="1">
      <alignment horizontal="left" vertical="center"/>
    </xf>
    <xf numFmtId="0" fontId="21" fillId="3" borderId="20" xfId="0" applyFont="1" applyFill="1" applyBorder="1" applyAlignment="1" applyProtection="1">
      <alignment horizontal="right" vertical="center"/>
    </xf>
    <xf numFmtId="0" fontId="21" fillId="3" borderId="6" xfId="0" applyFont="1" applyFill="1" applyBorder="1" applyAlignment="1" applyProtection="1">
      <alignment vertical="center"/>
    </xf>
    <xf numFmtId="0" fontId="21" fillId="3" borderId="22" xfId="0" applyFont="1" applyFill="1" applyBorder="1" applyAlignment="1" applyProtection="1">
      <alignment vertical="center"/>
    </xf>
    <xf numFmtId="0" fontId="21" fillId="3" borderId="16" xfId="0" applyFont="1" applyFill="1" applyBorder="1" applyAlignment="1" applyProtection="1">
      <alignment horizontal="right" vertical="center"/>
    </xf>
    <xf numFmtId="0" fontId="18" fillId="3" borderId="16" xfId="0" applyFont="1" applyFill="1" applyBorder="1" applyAlignment="1" applyProtection="1">
      <alignment horizontal="center" vertical="center"/>
    </xf>
    <xf numFmtId="169" fontId="18" fillId="3" borderId="16" xfId="0" applyNumberFormat="1" applyFont="1" applyFill="1" applyBorder="1" applyAlignment="1" applyProtection="1">
      <alignment horizontal="center" vertical="center"/>
    </xf>
    <xf numFmtId="173" fontId="2" fillId="5" borderId="20" xfId="0" applyNumberFormat="1" applyFont="1" applyFill="1" applyBorder="1" applyAlignment="1" applyProtection="1">
      <alignment vertical="center"/>
    </xf>
    <xf numFmtId="0" fontId="18" fillId="3" borderId="25" xfId="0" applyFont="1" applyFill="1" applyBorder="1" applyAlignment="1" applyProtection="1">
      <alignment vertical="center"/>
    </xf>
    <xf numFmtId="0" fontId="18" fillId="3" borderId="32" xfId="0" applyFont="1" applyFill="1" applyBorder="1" applyAlignment="1" applyProtection="1">
      <alignment vertical="center"/>
    </xf>
    <xf numFmtId="0" fontId="18" fillId="3" borderId="26" xfId="0" applyFont="1" applyFill="1" applyBorder="1" applyAlignment="1" applyProtection="1">
      <alignment vertical="center"/>
    </xf>
    <xf numFmtId="0" fontId="18" fillId="3" borderId="26" xfId="0" applyFont="1" applyFill="1" applyBorder="1" applyAlignment="1" applyProtection="1">
      <alignment horizontal="center" vertical="center"/>
    </xf>
    <xf numFmtId="170" fontId="18" fillId="3" borderId="26" xfId="0" applyNumberFormat="1" applyFont="1" applyFill="1" applyBorder="1" applyAlignment="1" applyProtection="1">
      <alignment horizontal="center" vertical="center"/>
    </xf>
    <xf numFmtId="0" fontId="18" fillId="3" borderId="6" xfId="0" applyFont="1" applyFill="1" applyBorder="1" applyAlignment="1" applyProtection="1">
      <alignment vertical="center"/>
    </xf>
    <xf numFmtId="0" fontId="18" fillId="3" borderId="22" xfId="0" applyFont="1" applyFill="1" applyBorder="1" applyAlignment="1" applyProtection="1">
      <alignment vertical="center"/>
    </xf>
    <xf numFmtId="0" fontId="18" fillId="3" borderId="16" xfId="0" applyFont="1" applyFill="1" applyBorder="1" applyAlignment="1" applyProtection="1">
      <alignment vertical="center"/>
    </xf>
    <xf numFmtId="0" fontId="18" fillId="5" borderId="0" xfId="0" applyFont="1" applyFill="1" applyBorder="1" applyAlignment="1" applyProtection="1">
      <alignment horizontal="left" vertical="center" wrapText="1"/>
    </xf>
    <xf numFmtId="0" fontId="55" fillId="5" borderId="0" xfId="0" applyFont="1" applyFill="1" applyBorder="1" applyAlignment="1" applyProtection="1">
      <alignment vertical="center"/>
    </xf>
    <xf numFmtId="0" fontId="55" fillId="5" borderId="1" xfId="0" applyFont="1" applyFill="1" applyBorder="1" applyAlignment="1" applyProtection="1">
      <alignment horizontal="center" vertical="center"/>
    </xf>
    <xf numFmtId="4" fontId="55" fillId="5" borderId="1" xfId="0" applyNumberFormat="1" applyFont="1" applyFill="1" applyBorder="1" applyAlignment="1" applyProtection="1">
      <alignment horizontal="center" vertical="center"/>
    </xf>
    <xf numFmtId="0" fontId="18" fillId="5" borderId="22" xfId="0" applyFont="1" applyFill="1" applyBorder="1" applyAlignment="1" applyProtection="1">
      <alignment horizontal="left" vertical="center" wrapText="1"/>
    </xf>
    <xf numFmtId="0" fontId="18" fillId="5" borderId="22" xfId="0" applyFont="1" applyFill="1" applyBorder="1" applyAlignment="1" applyProtection="1">
      <alignment vertical="center"/>
    </xf>
    <xf numFmtId="0" fontId="18" fillId="5" borderId="17" xfId="0" applyFont="1" applyFill="1" applyBorder="1" applyAlignment="1" applyProtection="1">
      <alignment horizontal="center" vertical="center"/>
    </xf>
    <xf numFmtId="4" fontId="18" fillId="5" borderId="17" xfId="0" applyNumberFormat="1" applyFont="1" applyFill="1" applyBorder="1" applyAlignment="1" applyProtection="1">
      <alignment horizontal="center" vertical="center"/>
    </xf>
    <xf numFmtId="0" fontId="0" fillId="10" borderId="0" xfId="0" applyFill="1" applyBorder="1" applyAlignment="1">
      <alignment vertical="center"/>
    </xf>
    <xf numFmtId="0" fontId="5" fillId="10" borderId="1" xfId="0" applyFont="1" applyFill="1" applyBorder="1" applyAlignment="1" applyProtection="1">
      <alignment horizontal="center" vertical="center"/>
    </xf>
    <xf numFmtId="4" fontId="5" fillId="10" borderId="1" xfId="0" applyNumberFormat="1" applyFont="1" applyFill="1" applyBorder="1" applyAlignment="1" applyProtection="1">
      <alignment horizontal="center" vertical="center"/>
    </xf>
    <xf numFmtId="0" fontId="18" fillId="10" borderId="19" xfId="0" applyFont="1" applyFill="1" applyBorder="1" applyAlignment="1" applyProtection="1">
      <alignment vertical="center"/>
    </xf>
    <xf numFmtId="0" fontId="5" fillId="10" borderId="15" xfId="0" applyFont="1" applyFill="1" applyBorder="1" applyAlignment="1" applyProtection="1">
      <alignment horizontal="center" vertical="center"/>
    </xf>
    <xf numFmtId="4" fontId="5" fillId="10" borderId="15" xfId="0" applyNumberFormat="1" applyFont="1" applyFill="1" applyBorder="1" applyAlignment="1" applyProtection="1">
      <alignment horizontal="center" vertical="center"/>
    </xf>
    <xf numFmtId="4" fontId="5" fillId="10" borderId="38" xfId="0" applyNumberFormat="1" applyFont="1" applyFill="1" applyBorder="1" applyAlignment="1" applyProtection="1">
      <alignment horizontal="centerContinuous" vertical="center"/>
    </xf>
    <xf numFmtId="4" fontId="5" fillId="10" borderId="5" xfId="0" applyNumberFormat="1" applyFont="1" applyFill="1" applyBorder="1" applyAlignment="1" applyProtection="1">
      <alignment horizontal="centerContinuous" vertical="center"/>
    </xf>
    <xf numFmtId="167" fontId="6" fillId="3" borderId="39" xfId="2" applyNumberFormat="1" applyFont="1" applyFill="1" applyBorder="1" applyAlignment="1" applyProtection="1">
      <alignment horizontal="center" vertical="center"/>
    </xf>
    <xf numFmtId="170" fontId="18" fillId="3" borderId="16" xfId="0" applyNumberFormat="1" applyFont="1" applyFill="1" applyBorder="1" applyAlignment="1" applyProtection="1">
      <alignment horizontal="center" vertical="center"/>
    </xf>
    <xf numFmtId="0" fontId="2" fillId="10" borderId="40" xfId="0" applyFont="1" applyFill="1" applyBorder="1" applyAlignment="1">
      <alignment vertical="center"/>
    </xf>
    <xf numFmtId="0" fontId="2" fillId="10" borderId="38" xfId="0" applyFont="1" applyFill="1" applyBorder="1" applyAlignment="1">
      <alignment vertical="center"/>
    </xf>
    <xf numFmtId="1" fontId="20" fillId="0" borderId="0" xfId="2" applyNumberFormat="1" applyFont="1" applyBorder="1" applyAlignment="1">
      <alignment vertical="center"/>
    </xf>
    <xf numFmtId="0" fontId="20" fillId="0" borderId="7" xfId="0" applyFont="1" applyBorder="1" applyAlignment="1">
      <alignment vertical="center"/>
    </xf>
    <xf numFmtId="0" fontId="3" fillId="0" borderId="7" xfId="0" applyFont="1" applyBorder="1" applyAlignment="1">
      <alignment horizontal="left"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7" xfId="0" applyFont="1" applyFill="1" applyBorder="1" applyAlignment="1">
      <alignment horizontal="left" vertical="center"/>
    </xf>
    <xf numFmtId="0" fontId="3" fillId="0" borderId="0" xfId="0" applyFont="1" applyBorder="1" applyAlignment="1">
      <alignment horizontal="left" vertical="center"/>
    </xf>
    <xf numFmtId="1" fontId="24" fillId="5" borderId="20" xfId="0" applyNumberFormat="1" applyFont="1" applyFill="1" applyBorder="1" applyAlignment="1" applyProtection="1">
      <alignment horizontal="center"/>
    </xf>
    <xf numFmtId="0" fontId="1" fillId="0" borderId="7" xfId="0" applyFont="1" applyFill="1" applyBorder="1" applyAlignment="1" applyProtection="1">
      <alignment horizontal="left"/>
    </xf>
    <xf numFmtId="0" fontId="1" fillId="0" borderId="20" xfId="0" applyFont="1" applyFill="1" applyBorder="1" applyAlignment="1" applyProtection="1"/>
    <xf numFmtId="0" fontId="5" fillId="10" borderId="6" xfId="0" applyFont="1" applyFill="1" applyBorder="1" applyAlignment="1">
      <alignment vertical="center"/>
    </xf>
    <xf numFmtId="0" fontId="5" fillId="10" borderId="22" xfId="0" applyFont="1" applyFill="1" applyBorder="1" applyAlignment="1">
      <alignment vertical="center"/>
    </xf>
    <xf numFmtId="0" fontId="5" fillId="10" borderId="22" xfId="0" applyFont="1" applyFill="1" applyBorder="1" applyAlignment="1" applyProtection="1">
      <alignment horizontal="left" vertical="center"/>
    </xf>
    <xf numFmtId="0" fontId="5" fillId="10" borderId="7" xfId="0" applyFont="1" applyFill="1" applyBorder="1" applyAlignment="1">
      <alignment vertical="center"/>
    </xf>
    <xf numFmtId="0" fontId="5" fillId="10" borderId="0" xfId="0" applyFont="1" applyFill="1" applyBorder="1" applyAlignment="1">
      <alignment vertical="center"/>
    </xf>
    <xf numFmtId="0" fontId="5" fillId="10" borderId="4" xfId="0" applyFont="1" applyFill="1" applyBorder="1" applyAlignment="1">
      <alignment vertical="center"/>
    </xf>
    <xf numFmtId="0" fontId="5" fillId="10" borderId="8" xfId="0" applyFont="1" applyFill="1" applyBorder="1" applyAlignment="1">
      <alignment vertical="center"/>
    </xf>
    <xf numFmtId="0" fontId="5" fillId="10" borderId="19" xfId="0" applyFont="1" applyFill="1" applyBorder="1" applyAlignment="1">
      <alignment vertical="center"/>
    </xf>
    <xf numFmtId="0" fontId="5" fillId="10" borderId="5" xfId="0" applyFont="1" applyFill="1" applyBorder="1" applyAlignment="1">
      <alignment vertical="center"/>
    </xf>
    <xf numFmtId="0" fontId="45" fillId="5" borderId="9" xfId="0" applyFont="1" applyFill="1" applyBorder="1" applyAlignment="1" applyProtection="1"/>
    <xf numFmtId="2" fontId="22" fillId="2" borderId="14" xfId="0" applyNumberFormat="1" applyFont="1" applyFill="1" applyBorder="1" applyAlignment="1" applyProtection="1">
      <alignment horizontal="center"/>
      <protection locked="0"/>
    </xf>
    <xf numFmtId="0" fontId="1" fillId="0" borderId="8" xfId="0" applyFont="1" applyBorder="1" applyAlignment="1" applyProtection="1"/>
    <xf numFmtId="0" fontId="22" fillId="0" borderId="5" xfId="0" applyFont="1" applyBorder="1" applyAlignment="1" applyProtection="1"/>
    <xf numFmtId="0" fontId="22" fillId="13" borderId="0" xfId="0" applyFont="1" applyFill="1" applyBorder="1" applyAlignment="1" applyProtection="1"/>
    <xf numFmtId="49" fontId="22" fillId="13" borderId="9" xfId="0" applyNumberFormat="1" applyFont="1" applyFill="1" applyBorder="1" applyAlignment="1" applyProtection="1"/>
    <xf numFmtId="0" fontId="22" fillId="13" borderId="3" xfId="0" applyFont="1" applyFill="1" applyBorder="1" applyAlignment="1" applyProtection="1"/>
    <xf numFmtId="0" fontId="22" fillId="2" borderId="20" xfId="0" applyFont="1" applyFill="1" applyBorder="1" applyAlignment="1" applyProtection="1">
      <alignment horizontal="center"/>
      <protection locked="0"/>
    </xf>
    <xf numFmtId="0" fontId="0" fillId="0" borderId="20" xfId="0" applyBorder="1" applyAlignment="1" applyProtection="1"/>
    <xf numFmtId="9" fontId="22" fillId="0" borderId="23" xfId="2" applyFont="1" applyFill="1" applyBorder="1" applyAlignment="1" applyProtection="1">
      <alignment horizontal="center"/>
    </xf>
    <xf numFmtId="9" fontId="22" fillId="2" borderId="60" xfId="2" applyFont="1" applyFill="1" applyBorder="1" applyAlignment="1" applyProtection="1">
      <alignment horizontal="center"/>
      <protection locked="0"/>
    </xf>
    <xf numFmtId="9" fontId="22" fillId="2" borderId="39" xfId="2" applyFont="1" applyFill="1" applyBorder="1" applyAlignment="1" applyProtection="1">
      <alignment horizontal="center"/>
      <protection locked="0"/>
    </xf>
    <xf numFmtId="2" fontId="52" fillId="2" borderId="23" xfId="0" applyNumberFormat="1" applyFont="1" applyFill="1" applyBorder="1" applyAlignment="1" applyProtection="1">
      <alignment horizontal="center"/>
      <protection locked="0"/>
    </xf>
    <xf numFmtId="2" fontId="52" fillId="2" borderId="60" xfId="0" applyNumberFormat="1" applyFont="1" applyFill="1" applyBorder="1" applyAlignment="1" applyProtection="1">
      <alignment horizontal="center"/>
      <protection locked="0"/>
    </xf>
    <xf numFmtId="2" fontId="52" fillId="2" borderId="39" xfId="0" applyNumberFormat="1" applyFont="1" applyFill="1" applyBorder="1" applyAlignment="1" applyProtection="1">
      <alignment horizontal="center"/>
      <protection locked="0"/>
    </xf>
    <xf numFmtId="2" fontId="22" fillId="2" borderId="23" xfId="0" applyNumberFormat="1" applyFont="1" applyFill="1" applyBorder="1" applyAlignment="1" applyProtection="1">
      <alignment horizontal="center"/>
      <protection locked="0"/>
    </xf>
    <xf numFmtId="2" fontId="22" fillId="2" borderId="60" xfId="0" applyNumberFormat="1" applyFont="1" applyFill="1" applyBorder="1" applyAlignment="1" applyProtection="1">
      <alignment horizontal="center"/>
      <protection locked="0"/>
    </xf>
    <xf numFmtId="2" fontId="22" fillId="2" borderId="38" xfId="0" applyNumberFormat="1" applyFont="1" applyFill="1" applyBorder="1" applyAlignment="1" applyProtection="1">
      <alignment horizontal="center"/>
      <protection locked="0"/>
    </xf>
    <xf numFmtId="0" fontId="24" fillId="13" borderId="55" xfId="0" applyFont="1" applyFill="1" applyBorder="1" applyAlignment="1" applyProtection="1"/>
    <xf numFmtId="0" fontId="24" fillId="13" borderId="6" xfId="0" applyFont="1" applyFill="1" applyBorder="1" applyAlignment="1" applyProtection="1"/>
    <xf numFmtId="0" fontId="1" fillId="13" borderId="0" xfId="0" applyFont="1" applyFill="1" applyBorder="1" applyAlignment="1" applyProtection="1"/>
    <xf numFmtId="0" fontId="1" fillId="13" borderId="59" xfId="0" applyFont="1" applyFill="1" applyBorder="1" applyAlignment="1" applyProtection="1">
      <alignment wrapText="1"/>
    </xf>
    <xf numFmtId="0" fontId="1" fillId="13" borderId="22" xfId="0" applyFont="1" applyFill="1" applyBorder="1" applyAlignment="1" applyProtection="1">
      <alignment wrapText="1"/>
    </xf>
    <xf numFmtId="0" fontId="22" fillId="13" borderId="59" xfId="0" applyFont="1" applyFill="1" applyBorder="1" applyAlignment="1" applyProtection="1"/>
    <xf numFmtId="0" fontId="22" fillId="13" borderId="22" xfId="0" applyFont="1" applyFill="1" applyBorder="1" applyAlignment="1" applyProtection="1"/>
    <xf numFmtId="0" fontId="22" fillId="13" borderId="19" xfId="0" applyFont="1" applyFill="1" applyBorder="1" applyAlignment="1" applyProtection="1"/>
    <xf numFmtId="0" fontId="22" fillId="13" borderId="4" xfId="0" applyFont="1" applyFill="1" applyBorder="1" applyAlignment="1" applyProtection="1"/>
    <xf numFmtId="0" fontId="22" fillId="13" borderId="58" xfId="0" applyFont="1" applyFill="1" applyBorder="1" applyAlignment="1" applyProtection="1"/>
    <xf numFmtId="0" fontId="22" fillId="13" borderId="5" xfId="0" applyFont="1" applyFill="1" applyBorder="1" applyAlignment="1" applyProtection="1"/>
    <xf numFmtId="0" fontId="1" fillId="0" borderId="7" xfId="0" applyFont="1" applyFill="1" applyBorder="1" applyAlignment="1" applyProtection="1">
      <alignment vertical="center"/>
    </xf>
    <xf numFmtId="0" fontId="0" fillId="0" borderId="0" xfId="0" applyFill="1" applyBorder="1" applyAlignment="1" applyProtection="1">
      <alignment vertical="center"/>
    </xf>
    <xf numFmtId="0" fontId="1" fillId="0" borderId="4" xfId="0" applyFont="1" applyFill="1" applyBorder="1" applyAlignment="1" applyProtection="1">
      <alignment vertical="center"/>
    </xf>
    <xf numFmtId="0" fontId="6" fillId="13" borderId="11" xfId="0" applyFont="1" applyFill="1" applyBorder="1" applyAlignment="1" applyProtection="1"/>
    <xf numFmtId="0" fontId="20" fillId="14" borderId="13" xfId="0" applyFont="1" applyFill="1" applyBorder="1" applyAlignment="1">
      <alignment vertical="center"/>
    </xf>
    <xf numFmtId="0" fontId="0" fillId="15" borderId="0" xfId="0" applyFill="1" applyAlignment="1">
      <alignment vertical="center"/>
    </xf>
    <xf numFmtId="0" fontId="42" fillId="0" borderId="0" xfId="0" applyFont="1" applyAlignment="1">
      <alignment vertical="center"/>
    </xf>
    <xf numFmtId="0" fontId="59" fillId="0" borderId="0" xfId="0" applyFont="1" applyAlignment="1" applyProtection="1">
      <alignment vertical="center"/>
    </xf>
    <xf numFmtId="0" fontId="60" fillId="0" borderId="0" xfId="0" applyFont="1" applyAlignment="1">
      <alignment horizontal="right" vertical="center"/>
    </xf>
    <xf numFmtId="0" fontId="59" fillId="0" borderId="0" xfId="0" applyFont="1" applyAlignment="1">
      <alignment vertical="center"/>
    </xf>
    <xf numFmtId="0" fontId="5" fillId="15" borderId="0" xfId="0" applyFont="1" applyFill="1" applyAlignment="1">
      <alignment vertical="center"/>
    </xf>
    <xf numFmtId="2" fontId="22" fillId="13" borderId="9" xfId="0" applyNumberFormat="1" applyFont="1" applyFill="1" applyBorder="1" applyAlignment="1" applyProtection="1">
      <alignment horizontal="left"/>
    </xf>
    <xf numFmtId="2" fontId="52" fillId="0" borderId="1" xfId="0" applyNumberFormat="1" applyFont="1" applyFill="1" applyBorder="1" applyAlignment="1" applyProtection="1">
      <alignment horizontal="center"/>
    </xf>
    <xf numFmtId="0" fontId="5" fillId="15" borderId="0" xfId="0" applyFont="1" applyFill="1"/>
    <xf numFmtId="0" fontId="22" fillId="13" borderId="9" xfId="0" applyFont="1" applyFill="1" applyBorder="1" applyAlignment="1" applyProtection="1">
      <alignment horizontal="left"/>
    </xf>
    <xf numFmtId="0" fontId="35" fillId="18" borderId="11" xfId="0" applyFont="1" applyFill="1" applyBorder="1" applyAlignment="1" applyProtection="1">
      <alignment vertical="top" wrapText="1"/>
    </xf>
    <xf numFmtId="0" fontId="35" fillId="18" borderId="9" xfId="0" applyFont="1" applyFill="1" applyBorder="1" applyAlignment="1" applyProtection="1">
      <alignment vertical="top" wrapText="1"/>
    </xf>
    <xf numFmtId="0" fontId="6" fillId="18" borderId="3" xfId="0" applyFont="1" applyFill="1" applyBorder="1" applyAlignment="1" applyProtection="1">
      <alignment vertical="center" wrapText="1"/>
    </xf>
    <xf numFmtId="0" fontId="1" fillId="0" borderId="23" xfId="0" applyFont="1" applyBorder="1" applyAlignment="1">
      <alignment vertical="center"/>
    </xf>
    <xf numFmtId="0" fontId="1" fillId="0" borderId="20" xfId="0" applyFont="1" applyBorder="1" applyAlignment="1">
      <alignment vertical="center"/>
    </xf>
    <xf numFmtId="0" fontId="22" fillId="13" borderId="9" xfId="0" applyFont="1" applyFill="1" applyBorder="1" applyAlignment="1" applyProtection="1">
      <alignment horizontal="left"/>
    </xf>
    <xf numFmtId="174" fontId="2" fillId="5" borderId="20" xfId="0" applyNumberFormat="1" applyFont="1" applyFill="1" applyBorder="1" applyAlignment="1" applyProtection="1">
      <alignment horizontal="right" vertical="center"/>
    </xf>
    <xf numFmtId="167" fontId="6" fillId="3" borderId="39" xfId="2" applyNumberFormat="1" applyFont="1" applyFill="1" applyBorder="1" applyAlignment="1" applyProtection="1">
      <alignment horizontal="center" vertical="center"/>
    </xf>
    <xf numFmtId="0" fontId="1" fillId="15" borderId="0" xfId="0" applyFont="1" applyFill="1" applyAlignment="1">
      <alignment vertical="center"/>
    </xf>
    <xf numFmtId="0" fontId="61" fillId="3" borderId="32" xfId="0" applyFont="1" applyFill="1" applyBorder="1" applyAlignment="1" applyProtection="1">
      <alignment vertical="center"/>
    </xf>
    <xf numFmtId="0" fontId="21" fillId="3" borderId="26" xfId="0" applyFont="1" applyFill="1" applyBorder="1" applyAlignment="1" applyProtection="1">
      <alignment horizontal="right" vertical="center"/>
    </xf>
    <xf numFmtId="9" fontId="22" fillId="2" borderId="39" xfId="2" applyNumberFormat="1" applyFont="1" applyFill="1" applyBorder="1" applyAlignment="1" applyProtection="1">
      <alignment horizontal="center"/>
      <protection locked="0"/>
    </xf>
    <xf numFmtId="0" fontId="64" fillId="0" borderId="0" xfId="0" applyFont="1" applyBorder="1" applyAlignment="1">
      <alignment horizontal="left" wrapTex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17" fillId="10" borderId="8" xfId="0" applyFont="1" applyFill="1" applyBorder="1" applyAlignment="1" applyProtection="1"/>
    <xf numFmtId="0" fontId="4" fillId="0" borderId="7" xfId="0" applyFont="1" applyFill="1" applyBorder="1" applyAlignment="1">
      <alignment horizontal="left" vertical="center"/>
    </xf>
    <xf numFmtId="0" fontId="3" fillId="0" borderId="0" xfId="0" applyFont="1" applyFill="1" applyBorder="1" applyAlignment="1">
      <alignment vertical="center"/>
    </xf>
    <xf numFmtId="0" fontId="4" fillId="0" borderId="8" xfId="0" applyFont="1" applyFill="1" applyBorder="1" applyAlignment="1">
      <alignment vertical="center"/>
    </xf>
    <xf numFmtId="0" fontId="3" fillId="0" borderId="19" xfId="0" applyFont="1" applyFill="1" applyBorder="1" applyAlignment="1">
      <alignment vertical="center"/>
    </xf>
    <xf numFmtId="0" fontId="4" fillId="0" borderId="8" xfId="0" applyFont="1" applyFill="1" applyBorder="1" applyAlignment="1">
      <alignment horizontal="right" vertical="center"/>
    </xf>
    <xf numFmtId="0" fontId="20" fillId="10" borderId="11" xfId="0" applyFont="1" applyFill="1" applyBorder="1"/>
    <xf numFmtId="0" fontId="20" fillId="10" borderId="14" xfId="0" applyFont="1" applyFill="1" applyBorder="1"/>
    <xf numFmtId="0" fontId="20" fillId="10" borderId="9" xfId="0" applyFont="1" applyFill="1" applyBorder="1"/>
    <xf numFmtId="0" fontId="2" fillId="10" borderId="9" xfId="0" applyFont="1" applyFill="1" applyBorder="1"/>
    <xf numFmtId="0" fontId="0" fillId="10" borderId="3" xfId="0" applyFill="1" applyBorder="1"/>
    <xf numFmtId="0" fontId="2" fillId="10" borderId="7" xfId="0" applyFont="1" applyFill="1" applyBorder="1"/>
    <xf numFmtId="9" fontId="2" fillId="10" borderId="1" xfId="0" applyNumberFormat="1" applyFont="1" applyFill="1" applyBorder="1"/>
    <xf numFmtId="9" fontId="2" fillId="10" borderId="0" xfId="0" applyNumberFormat="1" applyFont="1" applyFill="1" applyBorder="1"/>
    <xf numFmtId="0" fontId="2" fillId="10" borderId="0" xfId="0" applyFont="1" applyFill="1" applyBorder="1"/>
    <xf numFmtId="175" fontId="2" fillId="10" borderId="7" xfId="0" applyNumberFormat="1" applyFont="1" applyFill="1" applyBorder="1"/>
    <xf numFmtId="0" fontId="0" fillId="10" borderId="4" xfId="0" applyFill="1" applyBorder="1"/>
    <xf numFmtId="0" fontId="2" fillId="10" borderId="8" xfId="0" applyFont="1" applyFill="1" applyBorder="1"/>
    <xf numFmtId="176" fontId="2" fillId="10" borderId="15" xfId="0" applyNumberFormat="1" applyFont="1" applyFill="1" applyBorder="1"/>
    <xf numFmtId="176" fontId="2" fillId="10" borderId="19" xfId="0" applyNumberFormat="1" applyFont="1" applyFill="1" applyBorder="1"/>
    <xf numFmtId="0" fontId="0" fillId="10" borderId="19" xfId="0" applyFill="1" applyBorder="1"/>
    <xf numFmtId="0" fontId="0" fillId="10" borderId="8" xfId="0" applyFill="1" applyBorder="1"/>
    <xf numFmtId="0" fontId="0" fillId="10" borderId="5" xfId="0" applyFill="1" applyBorder="1"/>
    <xf numFmtId="0" fontId="2" fillId="10" borderId="7" xfId="0" applyFont="1" applyFill="1" applyBorder="1" applyAlignment="1" applyProtection="1"/>
    <xf numFmtId="0" fontId="2" fillId="10" borderId="0" xfId="0" applyFont="1" applyFill="1" applyBorder="1" applyAlignment="1" applyProtection="1">
      <alignment vertical="center"/>
    </xf>
    <xf numFmtId="0" fontId="2" fillId="10" borderId="53" xfId="0" applyFont="1" applyFill="1" applyBorder="1" applyAlignment="1" applyProtection="1">
      <alignment horizontal="center" vertical="center"/>
    </xf>
    <xf numFmtId="3" fontId="2" fillId="10" borderId="0" xfId="0" applyNumberFormat="1" applyFont="1" applyFill="1" applyBorder="1" applyAlignment="1"/>
    <xf numFmtId="3" fontId="2" fillId="10" borderId="1" xfId="0" applyNumberFormat="1" applyFont="1" applyFill="1" applyBorder="1" applyAlignment="1"/>
    <xf numFmtId="3" fontId="2" fillId="10" borderId="4" xfId="0" applyNumberFormat="1" applyFont="1" applyFill="1" applyBorder="1" applyAlignment="1"/>
    <xf numFmtId="0" fontId="2" fillId="10" borderId="25" xfId="0" applyFont="1" applyFill="1" applyBorder="1" applyAlignment="1" applyProtection="1"/>
    <xf numFmtId="0" fontId="2" fillId="10" borderId="32" xfId="0" applyFont="1" applyFill="1" applyBorder="1" applyAlignment="1" applyProtection="1">
      <alignment vertical="center"/>
    </xf>
    <xf numFmtId="3" fontId="2" fillId="10" borderId="32" xfId="0" applyNumberFormat="1" applyFont="1" applyFill="1" applyBorder="1" applyAlignment="1"/>
    <xf numFmtId="3" fontId="2" fillId="10" borderId="2" xfId="0" applyNumberFormat="1" applyFont="1" applyFill="1" applyBorder="1" applyAlignment="1"/>
    <xf numFmtId="3" fontId="2" fillId="10" borderId="27" xfId="0" applyNumberFormat="1" applyFont="1" applyFill="1" applyBorder="1" applyAlignment="1"/>
    <xf numFmtId="0" fontId="20" fillId="10" borderId="0" xfId="0" applyFont="1" applyFill="1" applyBorder="1" applyAlignment="1" applyProtection="1">
      <alignment vertical="center"/>
    </xf>
    <xf numFmtId="0" fontId="24" fillId="10" borderId="0" xfId="0" applyFont="1" applyFill="1" applyBorder="1" applyAlignment="1" applyProtection="1">
      <alignment horizontal="right" vertical="center"/>
    </xf>
    <xf numFmtId="0" fontId="2" fillId="10" borderId="0" xfId="0" applyFont="1" applyFill="1" applyBorder="1" applyAlignment="1" applyProtection="1">
      <alignment horizontal="right" vertical="center"/>
    </xf>
    <xf numFmtId="2" fontId="2" fillId="10" borderId="0" xfId="0" applyNumberFormat="1" applyFont="1" applyFill="1" applyBorder="1" applyAlignment="1" applyProtection="1">
      <alignment horizontal="right" vertical="center"/>
    </xf>
    <xf numFmtId="4" fontId="2" fillId="10" borderId="0" xfId="0" applyNumberFormat="1" applyFont="1" applyFill="1" applyBorder="1" applyAlignment="1"/>
    <xf numFmtId="4" fontId="2" fillId="10" borderId="1" xfId="0" applyNumberFormat="1" applyFont="1" applyFill="1" applyBorder="1" applyAlignment="1"/>
    <xf numFmtId="4" fontId="2" fillId="10" borderId="4" xfId="0" applyNumberFormat="1" applyFont="1" applyFill="1" applyBorder="1" applyAlignment="1"/>
    <xf numFmtId="0" fontId="2" fillId="10" borderId="19" xfId="0" applyFont="1" applyFill="1" applyBorder="1" applyAlignment="1" applyProtection="1">
      <alignment vertical="center"/>
    </xf>
    <xf numFmtId="0" fontId="20" fillId="10" borderId="19" xfId="0" applyFont="1" applyFill="1" applyBorder="1" applyAlignment="1" applyProtection="1">
      <alignment vertical="center"/>
    </xf>
    <xf numFmtId="0" fontId="2" fillId="10" borderId="54" xfId="0" applyFont="1" applyFill="1" applyBorder="1" applyAlignment="1" applyProtection="1">
      <alignment horizontal="center" vertical="center"/>
    </xf>
    <xf numFmtId="4" fontId="2" fillId="10" borderId="19" xfId="0" applyNumberFormat="1" applyFont="1" applyFill="1" applyBorder="1" applyAlignment="1"/>
    <xf numFmtId="4" fontId="2" fillId="10" borderId="15" xfId="0" applyNumberFormat="1" applyFont="1" applyFill="1" applyBorder="1" applyAlignment="1"/>
    <xf numFmtId="4" fontId="2" fillId="10" borderId="5" xfId="0" applyNumberFormat="1" applyFont="1" applyFill="1" applyBorder="1" applyAlignment="1"/>
    <xf numFmtId="0" fontId="65" fillId="10" borderId="7" xfId="0" applyFont="1" applyFill="1" applyBorder="1" applyAlignment="1" applyProtection="1"/>
    <xf numFmtId="0" fontId="65" fillId="10" borderId="0" xfId="0" applyFont="1" applyFill="1" applyBorder="1" applyAlignment="1" applyProtection="1">
      <alignment vertical="center"/>
    </xf>
    <xf numFmtId="0" fontId="65" fillId="10" borderId="66" xfId="0" applyFont="1" applyFill="1" applyBorder="1" applyAlignment="1" applyProtection="1">
      <alignment horizontal="center" vertical="center"/>
    </xf>
    <xf numFmtId="3" fontId="65" fillId="10" borderId="0" xfId="0" applyNumberFormat="1" applyFont="1" applyFill="1" applyBorder="1" applyAlignment="1"/>
    <xf numFmtId="3" fontId="65" fillId="10" borderId="1" xfId="0" applyNumberFormat="1" applyFont="1" applyFill="1" applyBorder="1" applyAlignment="1"/>
    <xf numFmtId="3" fontId="65" fillId="10" borderId="4" xfId="0" applyNumberFormat="1" applyFont="1" applyFill="1" applyBorder="1" applyAlignment="1"/>
    <xf numFmtId="0" fontId="65" fillId="10" borderId="53" xfId="0" applyFont="1" applyFill="1" applyBorder="1" applyAlignment="1" applyProtection="1">
      <alignment horizontal="center" vertical="center"/>
    </xf>
    <xf numFmtId="0" fontId="18" fillId="18" borderId="68" xfId="0" applyFont="1" applyFill="1" applyBorder="1" applyAlignment="1" applyProtection="1"/>
    <xf numFmtId="0" fontId="21" fillId="18" borderId="69" xfId="0" applyFont="1" applyFill="1" applyBorder="1" applyAlignment="1" applyProtection="1">
      <alignment horizontal="right" vertical="center"/>
    </xf>
    <xf numFmtId="0" fontId="18" fillId="18" borderId="67" xfId="0" applyFont="1" applyFill="1" applyBorder="1" applyAlignment="1" applyProtection="1">
      <alignment horizontal="center" vertical="center"/>
    </xf>
    <xf numFmtId="9" fontId="18" fillId="18" borderId="69" xfId="2" applyFont="1" applyFill="1" applyBorder="1" applyAlignment="1" applyProtection="1"/>
    <xf numFmtId="9" fontId="18" fillId="18" borderId="70" xfId="2" applyFont="1" applyFill="1" applyBorder="1" applyAlignment="1" applyProtection="1"/>
    <xf numFmtId="9" fontId="18" fillId="18" borderId="21" xfId="2" applyFont="1" applyFill="1" applyBorder="1" applyAlignment="1" applyProtection="1"/>
    <xf numFmtId="0" fontId="18" fillId="18" borderId="65" xfId="0" applyFont="1" applyFill="1" applyBorder="1" applyAlignment="1" applyProtection="1"/>
    <xf numFmtId="0" fontId="21" fillId="18" borderId="62" xfId="0" applyFont="1" applyFill="1" applyBorder="1" applyAlignment="1" applyProtection="1">
      <alignment horizontal="right" vertical="center"/>
    </xf>
    <xf numFmtId="0" fontId="23" fillId="18" borderId="62" xfId="0" applyFont="1" applyFill="1" applyBorder="1" applyAlignment="1" applyProtection="1">
      <alignment horizontal="right" vertical="center"/>
    </xf>
    <xf numFmtId="0" fontId="18" fillId="18" borderId="64" xfId="0" applyFont="1" applyFill="1" applyBorder="1" applyAlignment="1" applyProtection="1">
      <alignment horizontal="center" vertical="center"/>
    </xf>
    <xf numFmtId="3" fontId="18" fillId="18" borderId="62" xfId="0" applyNumberFormat="1" applyFont="1" applyFill="1" applyBorder="1" applyAlignment="1" applyProtection="1"/>
    <xf numFmtId="3" fontId="18" fillId="18" borderId="13" xfId="0" applyNumberFormat="1" applyFont="1" applyFill="1" applyBorder="1" applyAlignment="1" applyProtection="1"/>
    <xf numFmtId="3" fontId="18" fillId="18" borderId="63" xfId="0" applyNumberFormat="1" applyFont="1" applyFill="1" applyBorder="1" applyAlignment="1" applyProtection="1"/>
    <xf numFmtId="0" fontId="18" fillId="18" borderId="25" xfId="0" applyFont="1" applyFill="1" applyBorder="1" applyAlignment="1" applyProtection="1"/>
    <xf numFmtId="0" fontId="18" fillId="18" borderId="61" xfId="0" applyFont="1" applyFill="1" applyBorder="1" applyAlignment="1" applyProtection="1">
      <alignment vertical="center"/>
    </xf>
    <xf numFmtId="0" fontId="18" fillId="18" borderId="62" xfId="0" applyFont="1" applyFill="1" applyBorder="1" applyAlignment="1" applyProtection="1">
      <alignment vertical="center"/>
    </xf>
    <xf numFmtId="170" fontId="18" fillId="18" borderId="62" xfId="0" applyNumberFormat="1" applyFont="1" applyFill="1" applyBorder="1" applyAlignment="1" applyProtection="1"/>
    <xf numFmtId="170" fontId="18" fillId="18" borderId="13" xfId="0" applyNumberFormat="1" applyFont="1" applyFill="1" applyBorder="1" applyAlignment="1" applyProtection="1"/>
    <xf numFmtId="170" fontId="18" fillId="18" borderId="63" xfId="0" applyNumberFormat="1" applyFont="1" applyFill="1" applyBorder="1" applyAlignment="1" applyProtection="1"/>
    <xf numFmtId="0" fontId="6" fillId="18" borderId="11" xfId="0" applyFont="1" applyFill="1" applyBorder="1"/>
    <xf numFmtId="2" fontId="20" fillId="18" borderId="37" xfId="0" applyNumberFormat="1" applyFont="1" applyFill="1" applyBorder="1" applyAlignment="1"/>
    <xf numFmtId="0" fontId="0" fillId="18" borderId="9" xfId="0" applyFill="1" applyBorder="1"/>
    <xf numFmtId="0" fontId="20" fillId="18" borderId="9" xfId="0" applyFont="1" applyFill="1" applyBorder="1"/>
    <xf numFmtId="0" fontId="0" fillId="18" borderId="3" xfId="0" applyFill="1" applyBorder="1"/>
    <xf numFmtId="0" fontId="0" fillId="18" borderId="8" xfId="0" applyFill="1" applyBorder="1"/>
    <xf numFmtId="0" fontId="20" fillId="18" borderId="38" xfId="0" applyFont="1" applyFill="1" applyBorder="1" applyAlignment="1">
      <alignment horizontal="left"/>
    </xf>
    <xf numFmtId="0" fontId="0" fillId="18" borderId="19" xfId="0" applyFill="1" applyBorder="1"/>
    <xf numFmtId="0" fontId="20" fillId="18" borderId="19" xfId="0" applyFont="1" applyFill="1" applyBorder="1"/>
    <xf numFmtId="9" fontId="2" fillId="18" borderId="19" xfId="2" applyFont="1" applyFill="1" applyBorder="1"/>
    <xf numFmtId="0" fontId="0" fillId="18" borderId="5" xfId="0" applyFill="1" applyBorder="1"/>
    <xf numFmtId="0" fontId="2" fillId="18" borderId="5" xfId="0" applyFont="1" applyFill="1" applyBorder="1" applyAlignment="1" applyProtection="1">
      <alignment horizontal="right"/>
    </xf>
    <xf numFmtId="0" fontId="1" fillId="18" borderId="19" xfId="0" applyFont="1" applyFill="1" applyBorder="1" applyAlignment="1" applyProtection="1">
      <alignment wrapText="1"/>
    </xf>
    <xf numFmtId="0" fontId="22" fillId="13" borderId="9" xfId="0" applyFont="1" applyFill="1" applyBorder="1" applyAlignment="1" applyProtection="1">
      <alignment horizontal="left" vertical="center"/>
    </xf>
    <xf numFmtId="9" fontId="22" fillId="0" borderId="23" xfId="2" applyNumberFormat="1" applyFont="1" applyFill="1" applyBorder="1" applyAlignment="1" applyProtection="1">
      <alignment horizontal="center"/>
    </xf>
    <xf numFmtId="9" fontId="22" fillId="2" borderId="60" xfId="2" applyNumberFormat="1" applyFont="1" applyFill="1" applyBorder="1" applyAlignment="1" applyProtection="1">
      <alignment horizontal="center"/>
      <protection locked="0"/>
    </xf>
    <xf numFmtId="2" fontId="1" fillId="0" borderId="0" xfId="0" applyNumberFormat="1" applyFont="1" applyBorder="1"/>
    <xf numFmtId="2" fontId="1" fillId="0" borderId="22" xfId="0" applyNumberFormat="1" applyFont="1" applyBorder="1"/>
    <xf numFmtId="0" fontId="1" fillId="0" borderId="11" xfId="0" applyFont="1" applyBorder="1" applyAlignment="1">
      <alignment vertical="center"/>
    </xf>
    <xf numFmtId="0" fontId="1" fillId="10" borderId="0" xfId="0" applyFont="1" applyFill="1"/>
    <xf numFmtId="0" fontId="2" fillId="0" borderId="49" xfId="0" applyFont="1" applyBorder="1" applyAlignment="1" applyProtection="1">
      <alignment vertical="center"/>
    </xf>
    <xf numFmtId="0" fontId="2" fillId="0" borderId="0" xfId="0" applyFont="1" applyFill="1" applyBorder="1" applyAlignment="1" applyProtection="1">
      <alignment horizontal="center" vertical="center" wrapText="1"/>
    </xf>
    <xf numFmtId="0" fontId="2" fillId="9" borderId="30" xfId="0" applyFont="1" applyFill="1" applyBorder="1" applyAlignment="1" applyProtection="1">
      <alignment horizontal="center" vertical="center" wrapText="1"/>
    </xf>
    <xf numFmtId="0" fontId="1" fillId="0" borderId="19" xfId="0" applyFont="1" applyBorder="1" applyAlignment="1" applyProtection="1">
      <alignment horizontal="left"/>
    </xf>
    <xf numFmtId="0" fontId="1" fillId="9" borderId="0" xfId="0" applyFont="1" applyFill="1" applyProtection="1"/>
    <xf numFmtId="0" fontId="1" fillId="9" borderId="0" xfId="0" quotePrefix="1" applyFont="1" applyFill="1" applyProtection="1"/>
    <xf numFmtId="0" fontId="2" fillId="19" borderId="30" xfId="0" applyFont="1" applyFill="1" applyBorder="1" applyAlignment="1">
      <alignment horizontal="right"/>
    </xf>
    <xf numFmtId="0" fontId="1" fillId="5" borderId="0" xfId="0" applyFont="1" applyFill="1" applyBorder="1" applyAlignment="1" applyProtection="1">
      <alignment horizontal="left"/>
    </xf>
    <xf numFmtId="9" fontId="67" fillId="2" borderId="1" xfId="2" applyFont="1" applyFill="1" applyBorder="1" applyAlignment="1" applyProtection="1">
      <alignment horizontal="center"/>
      <protection locked="0"/>
    </xf>
    <xf numFmtId="167" fontId="67" fillId="2" borderId="14" xfId="2" applyNumberFormat="1" applyFont="1" applyFill="1" applyBorder="1" applyAlignment="1" applyProtection="1">
      <alignment horizontal="center"/>
      <protection locked="0"/>
    </xf>
    <xf numFmtId="167" fontId="67" fillId="2" borderId="1" xfId="2" applyNumberFormat="1" applyFont="1" applyFill="1" applyBorder="1" applyAlignment="1" applyProtection="1">
      <alignment horizontal="center"/>
      <protection locked="0"/>
    </xf>
    <xf numFmtId="167" fontId="67" fillId="2" borderId="15" xfId="2" applyNumberFormat="1" applyFont="1" applyFill="1" applyBorder="1" applyAlignment="1" applyProtection="1">
      <alignment horizontal="center"/>
      <protection locked="0"/>
    </xf>
    <xf numFmtId="166" fontId="67" fillId="2" borderId="14" xfId="0" applyNumberFormat="1" applyFont="1" applyFill="1" applyBorder="1" applyAlignment="1" applyProtection="1">
      <alignment horizontal="center"/>
      <protection locked="0"/>
    </xf>
    <xf numFmtId="166" fontId="67" fillId="2" borderId="1" xfId="0" applyNumberFormat="1" applyFont="1" applyFill="1" applyBorder="1" applyAlignment="1" applyProtection="1">
      <alignment horizontal="center"/>
      <protection locked="0"/>
    </xf>
    <xf numFmtId="2" fontId="67" fillId="2" borderId="12" xfId="0" applyNumberFormat="1" applyFont="1" applyFill="1" applyBorder="1" applyAlignment="1" applyProtection="1">
      <alignment horizontal="center"/>
      <protection locked="0"/>
    </xf>
    <xf numFmtId="2" fontId="67" fillId="2" borderId="2" xfId="2" applyNumberFormat="1" applyFont="1" applyFill="1" applyBorder="1" applyAlignment="1" applyProtection="1">
      <alignment horizontal="center"/>
      <protection locked="0"/>
    </xf>
    <xf numFmtId="2" fontId="67" fillId="2" borderId="1" xfId="2" applyNumberFormat="1" applyFont="1" applyFill="1" applyBorder="1" applyAlignment="1" applyProtection="1">
      <alignment horizontal="center"/>
      <protection locked="0"/>
    </xf>
    <xf numFmtId="2" fontId="67" fillId="2" borderId="15" xfId="2" applyNumberFormat="1" applyFont="1" applyFill="1" applyBorder="1" applyAlignment="1" applyProtection="1">
      <alignment horizontal="center"/>
      <protection locked="0"/>
    </xf>
    <xf numFmtId="0" fontId="0" fillId="0" borderId="2" xfId="0" applyBorder="1" applyAlignment="1">
      <alignment vertical="center"/>
    </xf>
    <xf numFmtId="2" fontId="0" fillId="0" borderId="1" xfId="0" applyNumberFormat="1" applyBorder="1"/>
    <xf numFmtId="2" fontId="69" fillId="0" borderId="1" xfId="3" applyNumberFormat="1" applyFont="1" applyBorder="1"/>
    <xf numFmtId="0" fontId="68" fillId="0" borderId="1" xfId="3" applyBorder="1"/>
    <xf numFmtId="2" fontId="69" fillId="0" borderId="17" xfId="3" applyNumberFormat="1" applyFont="1" applyBorder="1"/>
    <xf numFmtId="166" fontId="22" fillId="10" borderId="1" xfId="0" applyNumberFormat="1" applyFont="1" applyFill="1" applyBorder="1" applyAlignment="1" applyProtection="1">
      <alignment horizontal="center"/>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62" fillId="17" borderId="19" xfId="1" applyFont="1" applyFill="1" applyBorder="1" applyAlignment="1" applyProtection="1">
      <alignment horizontal="right" vertical="center"/>
    </xf>
    <xf numFmtId="0" fontId="62" fillId="17" borderId="5" xfId="1" applyFont="1" applyFill="1" applyBorder="1" applyAlignment="1" applyProtection="1">
      <alignment horizontal="right" vertical="center"/>
    </xf>
    <xf numFmtId="0" fontId="1" fillId="18" borderId="8" xfId="0" applyFont="1" applyFill="1" applyBorder="1" applyAlignment="1" applyProtection="1">
      <alignment horizontal="left" wrapText="1"/>
    </xf>
    <xf numFmtId="0" fontId="1" fillId="18" borderId="19" xfId="0" applyFont="1" applyFill="1" applyBorder="1" applyAlignment="1" applyProtection="1">
      <alignment horizontal="left" wrapText="1"/>
    </xf>
    <xf numFmtId="0" fontId="35" fillId="18" borderId="9" xfId="0" applyFont="1" applyFill="1" applyBorder="1" applyAlignment="1" applyProtection="1">
      <alignment horizontal="center" vertical="top" wrapText="1"/>
    </xf>
    <xf numFmtId="0" fontId="62" fillId="18" borderId="0" xfId="1" applyFont="1" applyFill="1" applyBorder="1" applyAlignment="1" applyProtection="1">
      <alignment horizontal="right" vertical="center"/>
    </xf>
    <xf numFmtId="0" fontId="62" fillId="18" borderId="4" xfId="1" applyFont="1" applyFill="1" applyBorder="1" applyAlignment="1" applyProtection="1">
      <alignment horizontal="right" vertical="center"/>
    </xf>
    <xf numFmtId="0" fontId="5" fillId="0" borderId="0" xfId="0" applyFont="1" applyFill="1" applyAlignment="1">
      <alignment horizontal="left" vertical="top" wrapText="1"/>
    </xf>
    <xf numFmtId="0" fontId="38" fillId="3" borderId="0" xfId="1" applyFont="1" applyFill="1" applyBorder="1" applyAlignment="1" applyProtection="1">
      <alignment horizontal="left" vertical="center"/>
    </xf>
    <xf numFmtId="0" fontId="38" fillId="3" borderId="4" xfId="1" applyFont="1" applyFill="1" applyBorder="1" applyAlignment="1" applyProtection="1">
      <alignment horizontal="left" vertical="center"/>
    </xf>
    <xf numFmtId="0" fontId="38" fillId="16" borderId="9" xfId="1" applyFont="1" applyFill="1" applyBorder="1" applyAlignment="1" applyProtection="1">
      <alignment horizontal="right" vertical="center"/>
    </xf>
    <xf numFmtId="0" fontId="38" fillId="16" borderId="3" xfId="1" applyFont="1" applyFill="1" applyBorder="1" applyAlignment="1" applyProtection="1">
      <alignment horizontal="right" vertical="center"/>
    </xf>
    <xf numFmtId="0" fontId="38" fillId="3" borderId="30" xfId="1" applyFont="1" applyFill="1" applyBorder="1" applyAlignment="1" applyProtection="1">
      <alignment horizontal="left" vertical="center"/>
    </xf>
    <xf numFmtId="0" fontId="38" fillId="3" borderId="31" xfId="1" applyFont="1" applyFill="1" applyBorder="1" applyAlignment="1" applyProtection="1">
      <alignment horizontal="left" vertical="center"/>
    </xf>
    <xf numFmtId="0" fontId="38" fillId="16" borderId="0" xfId="1" applyFont="1" applyFill="1" applyBorder="1" applyAlignment="1" applyProtection="1">
      <alignment horizontal="right" vertical="center"/>
    </xf>
    <xf numFmtId="0" fontId="38" fillId="16" borderId="4" xfId="1" applyFont="1" applyFill="1" applyBorder="1" applyAlignment="1" applyProtection="1">
      <alignment horizontal="right" vertical="center"/>
    </xf>
    <xf numFmtId="0" fontId="38" fillId="18" borderId="0" xfId="1" applyFont="1" applyFill="1" applyBorder="1" applyAlignment="1" applyProtection="1">
      <alignment horizontal="right" vertical="center"/>
    </xf>
    <xf numFmtId="0" fontId="38" fillId="18" borderId="4" xfId="1" applyFont="1" applyFill="1" applyBorder="1" applyAlignment="1" applyProtection="1">
      <alignment horizontal="righ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11" fillId="7" borderId="29" xfId="0" applyFont="1" applyFill="1" applyBorder="1" applyAlignment="1" applyProtection="1">
      <alignment horizontal="left" vertical="center"/>
    </xf>
    <xf numFmtId="0" fontId="11" fillId="7" borderId="30" xfId="0" applyFont="1" applyFill="1" applyBorder="1" applyAlignment="1" applyProtection="1">
      <alignment horizontal="left" vertical="center"/>
    </xf>
    <xf numFmtId="0" fontId="11" fillId="7" borderId="31" xfId="0" applyFont="1" applyFill="1" applyBorder="1" applyAlignment="1" applyProtection="1">
      <alignment horizontal="left" vertical="center"/>
    </xf>
    <xf numFmtId="0" fontId="37" fillId="0" borderId="0" xfId="0" applyFont="1" applyAlignment="1">
      <alignment horizontal="left" vertical="top" wrapText="1"/>
    </xf>
    <xf numFmtId="3" fontId="20" fillId="5" borderId="39" xfId="0" applyNumberFormat="1" applyFont="1" applyFill="1" applyBorder="1" applyAlignment="1" applyProtection="1">
      <alignment horizontal="center" vertical="center"/>
    </xf>
    <xf numFmtId="3" fontId="20" fillId="5" borderId="18" xfId="0" applyNumberFormat="1" applyFont="1" applyFill="1" applyBorder="1" applyAlignment="1" applyProtection="1">
      <alignment horizontal="center" vertical="center"/>
    </xf>
    <xf numFmtId="0" fontId="1" fillId="5" borderId="25" xfId="0" applyFont="1" applyFill="1" applyBorder="1" applyAlignment="1" applyProtection="1">
      <alignment horizontal="left"/>
    </xf>
    <xf numFmtId="0" fontId="1" fillId="5" borderId="26" xfId="0" applyFont="1" applyFill="1" applyBorder="1" applyAlignment="1" applyProtection="1">
      <alignment horizontal="left"/>
    </xf>
    <xf numFmtId="0" fontId="18" fillId="10" borderId="56" xfId="0" applyFont="1" applyFill="1" applyBorder="1" applyAlignment="1" applyProtection="1">
      <alignment horizontal="left" vertical="center" wrapText="1"/>
    </xf>
    <xf numFmtId="0" fontId="18" fillId="10" borderId="24" xfId="0" applyFont="1" applyFill="1" applyBorder="1" applyAlignment="1" applyProtection="1">
      <alignment horizontal="left" vertical="center" wrapText="1"/>
    </xf>
    <xf numFmtId="4" fontId="5" fillId="10" borderId="23" xfId="0" applyNumberFormat="1" applyFont="1" applyFill="1" applyBorder="1" applyAlignment="1" applyProtection="1">
      <alignment horizontal="center" vertical="center"/>
    </xf>
    <xf numFmtId="4" fontId="5" fillId="10" borderId="4" xfId="0" applyNumberFormat="1" applyFont="1" applyFill="1" applyBorder="1" applyAlignment="1" applyProtection="1">
      <alignment horizontal="center" vertical="center"/>
    </xf>
    <xf numFmtId="0" fontId="9" fillId="5" borderId="11" xfId="0" applyFont="1" applyFill="1" applyBorder="1" applyAlignment="1" applyProtection="1">
      <alignment horizontal="center" vertical="center"/>
    </xf>
    <xf numFmtId="0" fontId="9" fillId="5" borderId="9"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1" fontId="2" fillId="0" borderId="23" xfId="0" applyNumberFormat="1" applyFont="1" applyFill="1" applyBorder="1" applyAlignment="1" applyProtection="1">
      <alignment horizontal="center" vertical="center"/>
    </xf>
    <xf numFmtId="1" fontId="2" fillId="0" borderId="4" xfId="0" applyNumberFormat="1" applyFont="1" applyFill="1" applyBorder="1" applyAlignment="1" applyProtection="1">
      <alignment horizontal="center" vertical="center"/>
    </xf>
    <xf numFmtId="4" fontId="55" fillId="5" borderId="40" xfId="0" applyNumberFormat="1" applyFont="1" applyFill="1" applyBorder="1" applyAlignment="1" applyProtection="1">
      <alignment horizontal="center" vertical="center"/>
    </xf>
    <xf numFmtId="4" fontId="55" fillId="5" borderId="27" xfId="0" applyNumberFormat="1" applyFont="1" applyFill="1" applyBorder="1" applyAlignment="1" applyProtection="1">
      <alignment horizontal="center" vertical="center"/>
    </xf>
    <xf numFmtId="167" fontId="6" fillId="3" borderId="39" xfId="2" applyNumberFormat="1" applyFont="1" applyFill="1" applyBorder="1" applyAlignment="1" applyProtection="1">
      <alignment horizontal="center" vertical="center"/>
    </xf>
    <xf numFmtId="167" fontId="6" fillId="3" borderId="18" xfId="2" applyNumberFormat="1" applyFont="1" applyFill="1" applyBorder="1" applyAlignment="1" applyProtection="1">
      <alignment horizontal="center" vertical="center"/>
    </xf>
    <xf numFmtId="170" fontId="18" fillId="3" borderId="40" xfId="0" applyNumberFormat="1" applyFont="1" applyFill="1" applyBorder="1" applyAlignment="1" applyProtection="1">
      <alignment horizontal="center" vertical="center"/>
    </xf>
    <xf numFmtId="170" fontId="18" fillId="3" borderId="27" xfId="0" applyNumberFormat="1" applyFont="1" applyFill="1" applyBorder="1" applyAlignment="1" applyProtection="1">
      <alignment horizontal="center" vertical="center"/>
    </xf>
    <xf numFmtId="3" fontId="20" fillId="5" borderId="23" xfId="0" applyNumberFormat="1" applyFont="1" applyFill="1" applyBorder="1" applyAlignment="1" applyProtection="1">
      <alignment horizontal="center" vertical="center"/>
    </xf>
    <xf numFmtId="3" fontId="20" fillId="5" borderId="4" xfId="0" applyNumberFormat="1" applyFont="1" applyFill="1" applyBorder="1" applyAlignment="1" applyProtection="1">
      <alignment horizontal="center" vertical="center"/>
    </xf>
    <xf numFmtId="1" fontId="2" fillId="5" borderId="23" xfId="0" applyNumberFormat="1" applyFont="1" applyFill="1" applyBorder="1" applyAlignment="1" applyProtection="1">
      <alignment horizontal="center" vertical="center"/>
    </xf>
    <xf numFmtId="1" fontId="2" fillId="5" borderId="4" xfId="0" applyNumberFormat="1" applyFont="1" applyFill="1" applyBorder="1" applyAlignment="1" applyProtection="1">
      <alignment horizontal="center" vertical="center"/>
    </xf>
    <xf numFmtId="3" fontId="2" fillId="5" borderId="23" xfId="0" applyNumberFormat="1" applyFont="1" applyFill="1" applyBorder="1" applyAlignment="1" applyProtection="1">
      <alignment horizontal="center" vertical="center"/>
    </xf>
    <xf numFmtId="3" fontId="2" fillId="5" borderId="4" xfId="0" applyNumberFormat="1" applyFont="1" applyFill="1" applyBorder="1" applyAlignment="1" applyProtection="1">
      <alignment horizontal="center" vertical="center"/>
    </xf>
    <xf numFmtId="170" fontId="18" fillId="3" borderId="39" xfId="0" applyNumberFormat="1" applyFont="1" applyFill="1" applyBorder="1" applyAlignment="1" applyProtection="1">
      <alignment horizontal="center" vertical="center"/>
    </xf>
    <xf numFmtId="170" fontId="18" fillId="3" borderId="18" xfId="0" applyNumberFormat="1" applyFont="1" applyFill="1" applyBorder="1" applyAlignment="1" applyProtection="1">
      <alignment horizontal="center" vertical="center"/>
    </xf>
    <xf numFmtId="170" fontId="18" fillId="3" borderId="23" xfId="0" applyNumberFormat="1" applyFont="1" applyFill="1" applyBorder="1" applyAlignment="1" applyProtection="1">
      <alignment horizontal="center" vertical="center"/>
    </xf>
    <xf numFmtId="170" fontId="18" fillId="3" borderId="4" xfId="0" applyNumberFormat="1" applyFont="1" applyFill="1" applyBorder="1" applyAlignment="1" applyProtection="1">
      <alignment horizontal="center" vertical="center"/>
    </xf>
    <xf numFmtId="1" fontId="2" fillId="6" borderId="34" xfId="0" applyNumberFormat="1" applyFont="1" applyFill="1" applyBorder="1" applyAlignment="1" applyProtection="1">
      <alignment horizontal="center" vertical="center"/>
      <protection locked="0"/>
    </xf>
    <xf numFmtId="1" fontId="2" fillId="6" borderId="3" xfId="0" applyNumberFormat="1" applyFont="1" applyFill="1" applyBorder="1" applyAlignment="1" applyProtection="1">
      <alignment horizontal="center" vertical="center"/>
      <protection locked="0"/>
    </xf>
    <xf numFmtId="0" fontId="1" fillId="0" borderId="40" xfId="0" applyFont="1" applyBorder="1" applyAlignment="1">
      <alignment horizontal="left" vertical="center" wrapText="1"/>
    </xf>
    <xf numFmtId="0" fontId="1" fillId="0" borderId="32" xfId="0" applyFont="1" applyBorder="1" applyAlignment="1">
      <alignment horizontal="left" vertical="center" wrapText="1"/>
    </xf>
    <xf numFmtId="0" fontId="1" fillId="0" borderId="26" xfId="0" applyFont="1" applyBorder="1" applyAlignment="1">
      <alignment horizontal="left" vertical="center" wrapText="1"/>
    </xf>
    <xf numFmtId="0" fontId="1" fillId="0" borderId="39" xfId="0" applyFont="1" applyBorder="1" applyAlignment="1">
      <alignment horizontal="left" vertical="center" wrapText="1"/>
    </xf>
    <xf numFmtId="0" fontId="1" fillId="0" borderId="22" xfId="0" applyFont="1" applyBorder="1" applyAlignment="1">
      <alignment horizontal="left" vertical="center" wrapText="1"/>
    </xf>
    <xf numFmtId="0" fontId="1" fillId="0" borderId="16" xfId="0" applyFont="1" applyBorder="1" applyAlignment="1">
      <alignment horizontal="left"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0" fillId="0" borderId="32" xfId="0" applyBorder="1" applyAlignment="1">
      <alignment horizontal="left" vertical="center" wrapText="1"/>
    </xf>
    <xf numFmtId="0" fontId="0" fillId="0" borderId="26" xfId="0" applyBorder="1" applyAlignment="1">
      <alignment horizontal="left" vertical="center" wrapText="1"/>
    </xf>
    <xf numFmtId="0" fontId="0" fillId="0" borderId="23"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39" xfId="0" applyBorder="1" applyAlignment="1">
      <alignment horizontal="left" vertical="center" wrapText="1"/>
    </xf>
    <xf numFmtId="0" fontId="0" fillId="0" borderId="22" xfId="0" applyBorder="1" applyAlignment="1">
      <alignment horizontal="left" vertical="center" wrapText="1"/>
    </xf>
    <xf numFmtId="0" fontId="0" fillId="0" borderId="16" xfId="0" applyBorder="1" applyAlignment="1">
      <alignment horizontal="left" vertical="center" wrapText="1"/>
    </xf>
    <xf numFmtId="2" fontId="22" fillId="2" borderId="23" xfId="0" applyNumberFormat="1" applyFont="1" applyFill="1" applyBorder="1" applyAlignment="1" applyProtection="1">
      <alignment horizontal="center"/>
      <protection locked="0"/>
    </xf>
    <xf numFmtId="2" fontId="22" fillId="2" borderId="4" xfId="0" applyNumberFormat="1" applyFont="1" applyFill="1" applyBorder="1" applyAlignment="1" applyProtection="1">
      <alignment horizontal="center"/>
      <protection locked="0"/>
    </xf>
    <xf numFmtId="2" fontId="22" fillId="2" borderId="38" xfId="0" applyNumberFormat="1" applyFont="1" applyFill="1" applyBorder="1" applyAlignment="1" applyProtection="1">
      <alignment horizontal="center"/>
      <protection locked="0"/>
    </xf>
    <xf numFmtId="2" fontId="22" fillId="2" borderId="5" xfId="0" applyNumberFormat="1" applyFont="1" applyFill="1" applyBorder="1" applyAlignment="1" applyProtection="1">
      <alignment horizontal="center"/>
      <protection locked="0"/>
    </xf>
    <xf numFmtId="2" fontId="16" fillId="3" borderId="9" xfId="0" applyNumberFormat="1" applyFont="1" applyFill="1" applyBorder="1" applyAlignment="1" applyProtection="1">
      <alignment horizontal="center"/>
    </xf>
    <xf numFmtId="2" fontId="16" fillId="3" borderId="3" xfId="0" applyNumberFormat="1" applyFont="1" applyFill="1" applyBorder="1" applyAlignment="1" applyProtection="1">
      <alignment horizontal="center"/>
    </xf>
    <xf numFmtId="0" fontId="22" fillId="13" borderId="9" xfId="0" applyFont="1" applyFill="1" applyBorder="1" applyAlignment="1" applyProtection="1">
      <alignment horizontal="left" wrapText="1"/>
    </xf>
    <xf numFmtId="0" fontId="22" fillId="13" borderId="9" xfId="0" applyFont="1" applyFill="1" applyBorder="1" applyAlignment="1" applyProtection="1">
      <alignment horizontal="left"/>
    </xf>
    <xf numFmtId="2" fontId="22" fillId="2" borderId="40" xfId="0" applyNumberFormat="1" applyFont="1" applyFill="1" applyBorder="1" applyAlignment="1" applyProtection="1">
      <alignment horizontal="center"/>
      <protection locked="0"/>
    </xf>
    <xf numFmtId="2" fontId="22" fillId="2" borderId="27" xfId="0" applyNumberFormat="1" applyFont="1" applyFill="1" applyBorder="1" applyAlignment="1" applyProtection="1">
      <alignment horizontal="center"/>
      <protection locked="0"/>
    </xf>
    <xf numFmtId="0" fontId="47" fillId="12" borderId="29" xfId="0" applyFont="1" applyFill="1" applyBorder="1" applyAlignment="1" applyProtection="1">
      <alignment horizontal="center" vertical="top" wrapText="1"/>
    </xf>
    <xf numFmtId="0" fontId="47" fillId="12" borderId="30" xfId="0" applyFont="1" applyFill="1" applyBorder="1" applyAlignment="1" applyProtection="1">
      <alignment horizontal="center" vertical="top" wrapText="1"/>
    </xf>
    <xf numFmtId="0" fontId="47" fillId="12" borderId="31" xfId="0" applyFont="1" applyFill="1" applyBorder="1" applyAlignment="1" applyProtection="1">
      <alignment horizontal="center" vertical="top" wrapText="1"/>
    </xf>
    <xf numFmtId="0" fontId="6" fillId="5" borderId="11" xfId="0" applyFont="1" applyFill="1" applyBorder="1" applyAlignment="1" applyProtection="1">
      <alignment horizontal="left"/>
    </xf>
    <xf numFmtId="0" fontId="6" fillId="5" borderId="9" xfId="0" applyFont="1" applyFill="1" applyBorder="1" applyAlignment="1" applyProtection="1">
      <alignment horizontal="left"/>
    </xf>
    <xf numFmtId="0" fontId="6" fillId="5" borderId="10" xfId="0" applyFont="1" applyFill="1" applyBorder="1" applyAlignment="1" applyProtection="1">
      <alignment horizontal="left"/>
    </xf>
    <xf numFmtId="0" fontId="18" fillId="5" borderId="25" xfId="0" applyFont="1" applyFill="1" applyBorder="1" applyAlignment="1" applyProtection="1">
      <alignment horizontal="left" vertical="top" wrapText="1"/>
    </xf>
    <xf numFmtId="0" fontId="18" fillId="5" borderId="26" xfId="0" applyFont="1" applyFill="1" applyBorder="1" applyAlignment="1" applyProtection="1">
      <alignment horizontal="left" vertical="top" wrapText="1"/>
    </xf>
    <xf numFmtId="0" fontId="18" fillId="5" borderId="7" xfId="0" applyFont="1" applyFill="1" applyBorder="1" applyAlignment="1" applyProtection="1">
      <alignment horizontal="left" vertical="top" wrapText="1"/>
    </xf>
    <xf numFmtId="0" fontId="18" fillId="5" borderId="16" xfId="0" applyFont="1" applyFill="1" applyBorder="1" applyAlignment="1" applyProtection="1">
      <alignment horizontal="left" vertical="top" wrapText="1"/>
    </xf>
    <xf numFmtId="4" fontId="18" fillId="5" borderId="39" xfId="0" applyNumberFormat="1" applyFont="1" applyFill="1" applyBorder="1" applyAlignment="1" applyProtection="1">
      <alignment horizontal="center" vertical="center"/>
    </xf>
    <xf numFmtId="4" fontId="18" fillId="5" borderId="18" xfId="0" applyNumberFormat="1" applyFont="1" applyFill="1" applyBorder="1" applyAlignment="1" applyProtection="1">
      <alignment horizontal="center" vertical="center"/>
    </xf>
    <xf numFmtId="2" fontId="20" fillId="5" borderId="23" xfId="0" applyNumberFormat="1" applyFont="1" applyFill="1" applyBorder="1" applyAlignment="1" applyProtection="1">
      <alignment horizontal="center" vertical="center"/>
    </xf>
    <xf numFmtId="2" fontId="20" fillId="5" borderId="4" xfId="0" applyNumberFormat="1" applyFont="1" applyFill="1" applyBorder="1" applyAlignment="1" applyProtection="1">
      <alignment horizontal="center" vertical="center"/>
    </xf>
    <xf numFmtId="9" fontId="17" fillId="3" borderId="39" xfId="2" applyFont="1" applyFill="1" applyBorder="1" applyAlignment="1" applyProtection="1">
      <alignment horizontal="center" vertical="center"/>
    </xf>
    <xf numFmtId="9" fontId="17" fillId="3" borderId="18" xfId="2" applyFont="1" applyFill="1" applyBorder="1" applyAlignment="1" applyProtection="1">
      <alignment horizontal="center" vertical="center"/>
    </xf>
    <xf numFmtId="3" fontId="2" fillId="5" borderId="40" xfId="0" applyNumberFormat="1" applyFont="1" applyFill="1" applyBorder="1" applyAlignment="1" applyProtection="1">
      <alignment horizontal="center" vertical="center"/>
    </xf>
    <xf numFmtId="3" fontId="2" fillId="5" borderId="27" xfId="0" applyNumberFormat="1" applyFont="1" applyFill="1" applyBorder="1" applyAlignment="1" applyProtection="1">
      <alignment horizontal="center" vertical="center"/>
    </xf>
    <xf numFmtId="169" fontId="18" fillId="3" borderId="39" xfId="0" applyNumberFormat="1" applyFont="1" applyFill="1" applyBorder="1" applyAlignment="1" applyProtection="1">
      <alignment horizontal="center" vertical="center"/>
    </xf>
    <xf numFmtId="169" fontId="18" fillId="3" borderId="18" xfId="0" applyNumberFormat="1" applyFont="1" applyFill="1" applyBorder="1" applyAlignment="1" applyProtection="1">
      <alignment horizontal="center" vertical="center"/>
    </xf>
    <xf numFmtId="0" fontId="1" fillId="0" borderId="23" xfId="0" applyFont="1" applyBorder="1" applyAlignment="1">
      <alignment horizontal="left" vertical="center" wrapText="1"/>
    </xf>
    <xf numFmtId="0" fontId="0" fillId="0" borderId="0" xfId="0" applyAlignment="1">
      <alignment horizontal="left" vertical="center" wrapText="1"/>
    </xf>
    <xf numFmtId="166" fontId="2" fillId="5" borderId="23" xfId="0" applyNumberFormat="1" applyFont="1" applyFill="1" applyBorder="1" applyAlignment="1" applyProtection="1">
      <alignment horizontal="center" vertical="center"/>
    </xf>
    <xf numFmtId="166" fontId="2" fillId="5" borderId="4" xfId="0" applyNumberFormat="1" applyFont="1" applyFill="1" applyBorder="1" applyAlignment="1" applyProtection="1">
      <alignment horizontal="center" vertical="center"/>
    </xf>
    <xf numFmtId="14" fontId="20" fillId="2" borderId="29" xfId="0" applyNumberFormat="1" applyFont="1" applyFill="1" applyBorder="1" applyAlignment="1" applyProtection="1">
      <alignment horizontal="center" vertical="center"/>
      <protection locked="0"/>
    </xf>
    <xf numFmtId="14" fontId="20" fillId="2" borderId="31" xfId="0" applyNumberFormat="1" applyFont="1" applyFill="1" applyBorder="1" applyAlignment="1" applyProtection="1">
      <alignment horizontal="center" vertical="center"/>
      <protection locked="0"/>
    </xf>
    <xf numFmtId="0" fontId="11" fillId="7" borderId="29" xfId="0" applyFont="1" applyFill="1" applyBorder="1" applyAlignment="1" applyProtection="1">
      <alignment horizontal="center" vertical="center"/>
    </xf>
    <xf numFmtId="0" fontId="11" fillId="7" borderId="30" xfId="0" applyFont="1" applyFill="1" applyBorder="1" applyAlignment="1" applyProtection="1">
      <alignment horizontal="center" vertical="center"/>
    </xf>
    <xf numFmtId="0" fontId="2" fillId="7" borderId="30" xfId="0" applyFont="1" applyFill="1" applyBorder="1" applyAlignment="1" applyProtection="1">
      <alignment horizontal="center" vertical="center" wrapText="1"/>
    </xf>
    <xf numFmtId="0" fontId="2" fillId="7" borderId="31" xfId="0" applyFont="1" applyFill="1" applyBorder="1" applyAlignment="1" applyProtection="1">
      <alignment horizontal="center" vertical="center" wrapText="1"/>
    </xf>
    <xf numFmtId="166" fontId="2" fillId="5" borderId="39" xfId="0" applyNumberFormat="1" applyFont="1" applyFill="1" applyBorder="1" applyAlignment="1" applyProtection="1">
      <alignment horizontal="center" vertical="center"/>
    </xf>
    <xf numFmtId="166" fontId="2" fillId="5" borderId="18" xfId="0" applyNumberFormat="1" applyFont="1" applyFill="1" applyBorder="1" applyAlignment="1" applyProtection="1">
      <alignment horizontal="center" vertical="center"/>
    </xf>
    <xf numFmtId="2" fontId="22" fillId="9" borderId="42" xfId="0" applyNumberFormat="1" applyFont="1" applyFill="1" applyBorder="1" applyAlignment="1" applyProtection="1">
      <alignment horizontal="center"/>
    </xf>
    <xf numFmtId="2" fontId="22" fillId="9" borderId="21" xfId="0" applyNumberFormat="1" applyFont="1" applyFill="1" applyBorder="1" applyAlignment="1" applyProtection="1">
      <alignment horizontal="center"/>
    </xf>
    <xf numFmtId="1" fontId="2" fillId="0" borderId="49" xfId="0" applyNumberFormat="1" applyFont="1" applyFill="1" applyBorder="1" applyAlignment="1" applyProtection="1">
      <alignment horizontal="center" vertical="center"/>
    </xf>
    <xf numFmtId="1" fontId="2" fillId="0" borderId="46" xfId="0" applyNumberFormat="1" applyFont="1" applyFill="1" applyBorder="1" applyAlignment="1" applyProtection="1">
      <alignment horizontal="center" vertical="center"/>
    </xf>
    <xf numFmtId="2" fontId="2" fillId="0" borderId="23" xfId="0" applyNumberFormat="1" applyFont="1" applyFill="1" applyBorder="1" applyAlignment="1" applyProtection="1">
      <alignment horizontal="center" vertical="center"/>
    </xf>
    <xf numFmtId="2" fontId="2" fillId="0" borderId="4" xfId="0" applyNumberFormat="1" applyFont="1" applyFill="1" applyBorder="1" applyAlignment="1" applyProtection="1">
      <alignment horizontal="center" vertical="center"/>
    </xf>
    <xf numFmtId="0" fontId="20" fillId="2" borderId="29" xfId="0" applyFont="1" applyFill="1" applyBorder="1" applyAlignment="1" applyProtection="1">
      <alignment horizontal="center" vertical="center"/>
      <protection locked="0"/>
    </xf>
    <xf numFmtId="0" fontId="20" fillId="2" borderId="31" xfId="0" applyFont="1" applyFill="1" applyBorder="1" applyAlignment="1" applyProtection="1">
      <alignment horizontal="center" vertical="center"/>
      <protection locked="0"/>
    </xf>
    <xf numFmtId="9" fontId="9" fillId="6" borderId="38" xfId="2" applyFont="1" applyFill="1" applyBorder="1" applyAlignment="1" applyProtection="1">
      <alignment horizontal="center" vertical="center"/>
      <protection locked="0"/>
    </xf>
    <xf numFmtId="9" fontId="9" fillId="6" borderId="5" xfId="2" applyFont="1" applyFill="1" applyBorder="1" applyAlignment="1" applyProtection="1">
      <alignment horizontal="center" vertical="center"/>
      <protection locked="0"/>
    </xf>
    <xf numFmtId="1" fontId="20" fillId="0" borderId="23" xfId="0" applyNumberFormat="1" applyFont="1" applyFill="1" applyBorder="1" applyAlignment="1" applyProtection="1">
      <alignment horizontal="center" vertical="center"/>
    </xf>
    <xf numFmtId="1" fontId="20" fillId="0" borderId="4" xfId="0" applyNumberFormat="1" applyFont="1" applyFill="1" applyBorder="1" applyAlignment="1" applyProtection="1">
      <alignment horizontal="center" vertical="center"/>
    </xf>
    <xf numFmtId="0" fontId="2" fillId="0" borderId="0" xfId="0" applyFont="1" applyBorder="1" applyAlignment="1">
      <alignment horizontal="left" wrapText="1"/>
    </xf>
    <xf numFmtId="0" fontId="2" fillId="9" borderId="30" xfId="0" applyFont="1" applyFill="1" applyBorder="1" applyAlignment="1">
      <alignment horizontal="right" wrapText="1"/>
    </xf>
    <xf numFmtId="0" fontId="2" fillId="0" borderId="31" xfId="0" applyFont="1" applyBorder="1" applyAlignment="1">
      <alignment horizontal="right" wrapText="1"/>
    </xf>
    <xf numFmtId="0" fontId="10" fillId="9" borderId="29" xfId="0" applyFont="1" applyFill="1" applyBorder="1" applyAlignment="1" applyProtection="1">
      <alignment horizontal="center" vertical="center"/>
    </xf>
    <xf numFmtId="0" fontId="10" fillId="9" borderId="30" xfId="0" applyFont="1" applyFill="1" applyBorder="1" applyAlignment="1" applyProtection="1">
      <alignment horizontal="center" vertical="center"/>
    </xf>
    <xf numFmtId="0" fontId="2" fillId="0" borderId="50" xfId="0" applyFont="1" applyBorder="1" applyAlignment="1">
      <alignment horizontal="center" wrapText="1"/>
    </xf>
    <xf numFmtId="0" fontId="2" fillId="0" borderId="51" xfId="0" applyFont="1" applyBorder="1" applyAlignment="1">
      <alignment horizontal="center" wrapText="1"/>
    </xf>
    <xf numFmtId="0" fontId="2" fillId="0" borderId="47" xfId="0" applyFont="1" applyBorder="1" applyAlignment="1">
      <alignment horizontal="center" wrapText="1"/>
    </xf>
    <xf numFmtId="0" fontId="2" fillId="0" borderId="48" xfId="0" applyFont="1" applyBorder="1" applyAlignment="1">
      <alignment horizontal="center" wrapText="1"/>
    </xf>
    <xf numFmtId="0" fontId="0" fillId="0" borderId="0" xfId="0" applyFill="1" applyAlignment="1" applyProtection="1">
      <alignment horizontal="center" vertical="center" wrapText="1"/>
    </xf>
    <xf numFmtId="0" fontId="4" fillId="10" borderId="11" xfId="0" applyFont="1" applyFill="1" applyBorder="1" applyAlignment="1" applyProtection="1">
      <alignment horizontal="left" vertical="center"/>
    </xf>
    <xf numFmtId="0" fontId="4" fillId="10" borderId="9" xfId="0" applyFont="1" applyFill="1" applyBorder="1" applyAlignment="1" applyProtection="1">
      <alignment horizontal="left" vertical="center"/>
    </xf>
    <xf numFmtId="0" fontId="4" fillId="10" borderId="3" xfId="0" applyFont="1" applyFill="1" applyBorder="1" applyAlignment="1" applyProtection="1">
      <alignment horizontal="left" vertical="center"/>
    </xf>
    <xf numFmtId="9" fontId="5" fillId="10" borderId="23" xfId="0" applyNumberFormat="1" applyFont="1" applyFill="1" applyBorder="1" applyAlignment="1">
      <alignment horizontal="center" vertical="center"/>
    </xf>
    <xf numFmtId="9" fontId="5" fillId="10" borderId="20" xfId="0" applyNumberFormat="1" applyFont="1" applyFill="1" applyBorder="1" applyAlignment="1">
      <alignment horizontal="center" vertical="center"/>
    </xf>
    <xf numFmtId="1" fontId="5" fillId="10" borderId="38" xfId="2" applyNumberFormat="1" applyFont="1" applyFill="1" applyBorder="1" applyAlignment="1">
      <alignment horizontal="center" vertical="center"/>
    </xf>
    <xf numFmtId="1" fontId="5" fillId="10" borderId="12" xfId="2" applyNumberFormat="1" applyFont="1" applyFill="1" applyBorder="1" applyAlignment="1">
      <alignment horizontal="center" vertical="center"/>
    </xf>
    <xf numFmtId="9" fontId="5" fillId="10" borderId="40" xfId="0" applyNumberFormat="1" applyFont="1" applyFill="1" applyBorder="1" applyAlignment="1">
      <alignment horizontal="center" vertical="center"/>
    </xf>
    <xf numFmtId="9" fontId="5" fillId="10" borderId="32" xfId="0" applyNumberFormat="1" applyFont="1" applyFill="1" applyBorder="1" applyAlignment="1">
      <alignment horizontal="center" vertical="center"/>
    </xf>
    <xf numFmtId="1" fontId="5" fillId="10" borderId="19" xfId="2" applyNumberFormat="1" applyFont="1" applyFill="1" applyBorder="1" applyAlignment="1">
      <alignment horizontal="center" vertical="center"/>
    </xf>
    <xf numFmtId="9" fontId="5" fillId="10" borderId="0" xfId="0" applyNumberFormat="1" applyFont="1" applyFill="1" applyBorder="1" applyAlignment="1">
      <alignment horizontal="center" vertical="center"/>
    </xf>
    <xf numFmtId="0" fontId="5" fillId="10" borderId="22"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39" xfId="0" applyFont="1" applyFill="1" applyBorder="1" applyAlignment="1">
      <alignment horizontal="center" vertical="center"/>
    </xf>
    <xf numFmtId="0" fontId="5" fillId="10" borderId="18" xfId="0" applyFont="1" applyFill="1" applyBorder="1" applyAlignment="1">
      <alignment horizontal="center" vertical="center"/>
    </xf>
    <xf numFmtId="0" fontId="47" fillId="12" borderId="29" xfId="0" applyFont="1" applyFill="1" applyBorder="1" applyAlignment="1" applyProtection="1">
      <alignment horizontal="right" vertical="top" wrapText="1"/>
    </xf>
    <xf numFmtId="0" fontId="47" fillId="12" borderId="30" xfId="0" applyFont="1" applyFill="1" applyBorder="1" applyAlignment="1" applyProtection="1">
      <alignment horizontal="right" vertical="top" wrapText="1"/>
    </xf>
    <xf numFmtId="0" fontId="47" fillId="12" borderId="31" xfId="0" applyFont="1" applyFill="1" applyBorder="1" applyAlignment="1" applyProtection="1">
      <alignment horizontal="right" vertical="top" wrapText="1"/>
    </xf>
    <xf numFmtId="0" fontId="0" fillId="0" borderId="27" xfId="0" applyBorder="1" applyAlignment="1">
      <alignment horizontal="center"/>
    </xf>
    <xf numFmtId="0" fontId="0" fillId="0" borderId="5" xfId="0" applyBorder="1" applyAlignment="1">
      <alignment horizontal="center"/>
    </xf>
    <xf numFmtId="0" fontId="10" fillId="7" borderId="29" xfId="0" applyFont="1" applyFill="1" applyBorder="1" applyAlignment="1" applyProtection="1">
      <alignment horizontal="center" vertical="center"/>
    </xf>
    <xf numFmtId="0" fontId="10" fillId="7" borderId="30" xfId="0" applyFont="1" applyFill="1" applyBorder="1" applyAlignment="1" applyProtection="1">
      <alignment horizontal="center" vertical="center"/>
    </xf>
    <xf numFmtId="0" fontId="2" fillId="19" borderId="30" xfId="0" applyFont="1" applyFill="1" applyBorder="1" applyAlignment="1">
      <alignment horizontal="right" wrapText="1"/>
    </xf>
    <xf numFmtId="0" fontId="0" fillId="19" borderId="31" xfId="0" applyFill="1" applyBorder="1" applyAlignment="1">
      <alignment horizontal="right" wrapText="1"/>
    </xf>
    <xf numFmtId="0" fontId="0" fillId="0" borderId="3" xfId="0" applyBorder="1" applyAlignment="1">
      <alignment horizontal="center"/>
    </xf>
    <xf numFmtId="0" fontId="0" fillId="0" borderId="18" xfId="0" applyBorder="1" applyAlignment="1">
      <alignment horizontal="center"/>
    </xf>
    <xf numFmtId="0" fontId="2" fillId="7" borderId="30" xfId="0" applyFont="1" applyFill="1" applyBorder="1" applyAlignment="1" applyProtection="1">
      <alignment horizontal="right" vertical="center" wrapText="1"/>
    </xf>
    <xf numFmtId="0" fontId="0" fillId="0" borderId="31" xfId="0" applyBorder="1" applyAlignment="1">
      <alignment horizontal="right"/>
    </xf>
  </cellXfs>
  <cellStyles count="4">
    <cellStyle name="Hyperlink" xfId="1" builtinId="8"/>
    <cellStyle name="Prozent" xfId="2" builtinId="5"/>
    <cellStyle name="Standard" xfId="0" builtinId="0"/>
    <cellStyle name="Standard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3E3E3"/>
      <color rgb="FFEAEAEA"/>
      <color rgb="FFCCFFCC"/>
      <color rgb="FFFFFFCC"/>
      <color rgb="FFFFFF99"/>
      <color rgb="FFFFFF66"/>
      <color rgb="FFCCCCFF"/>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e-DE" sz="1600" b="1" i="0" u="none" strike="noStrike" kern="1200" baseline="0">
                <a:solidFill>
                  <a:srgbClr val="000000"/>
                </a:solidFill>
                <a:latin typeface="Arial"/>
                <a:ea typeface="Arial"/>
                <a:cs typeface="Arial"/>
              </a:defRPr>
            </a:pPr>
            <a:r>
              <a:rPr lang="de-DE" sz="1600" b="1" i="0" u="none" strike="noStrike" kern="1200" baseline="0">
                <a:solidFill>
                  <a:srgbClr val="000000"/>
                </a:solidFill>
                <a:latin typeface="Arial"/>
                <a:ea typeface="Arial"/>
                <a:cs typeface="Arial"/>
              </a:rPr>
              <a:t>Deckungsbeitrag und Stundenlohn</a:t>
            </a:r>
          </a:p>
        </c:rich>
      </c:tx>
      <c:layout>
        <c:manualLayout>
          <c:xMode val="edge"/>
          <c:yMode val="edge"/>
          <c:x val="0.15040089627235229"/>
          <c:y val="7.6771627968531203E-3"/>
        </c:manualLayout>
      </c:layout>
      <c:overlay val="0"/>
      <c:spPr>
        <a:noFill/>
        <a:ln w="25400">
          <a:noFill/>
        </a:ln>
      </c:spPr>
    </c:title>
    <c:autoTitleDeleted val="0"/>
    <c:plotArea>
      <c:layout>
        <c:manualLayout>
          <c:layoutTarget val="inner"/>
          <c:xMode val="edge"/>
          <c:yMode val="edge"/>
          <c:x val="0.18914263085923788"/>
          <c:y val="0.24995436289612069"/>
          <c:w val="0.71828358208955223"/>
          <c:h val="0.60902311536572939"/>
        </c:manualLayout>
      </c:layout>
      <c:barChart>
        <c:barDir val="col"/>
        <c:grouping val="clustered"/>
        <c:varyColors val="0"/>
        <c:ser>
          <c:idx val="6"/>
          <c:order val="0"/>
          <c:tx>
            <c:v>DB je 100 Legehennen und Durchgang</c:v>
          </c:tx>
          <c:spPr>
            <a:solidFill>
              <a:srgbClr val="00B0F0"/>
            </a:solidFill>
          </c:spPr>
          <c:invertIfNegative val="0"/>
          <c:cat>
            <c:numRef>
              <c:f>'6.000'!$G$42:$I$42</c:f>
              <c:numCache>
                <c:formatCode>0%</c:formatCode>
                <c:ptCount val="3"/>
                <c:pt idx="0">
                  <c:v>0.75</c:v>
                </c:pt>
                <c:pt idx="1">
                  <c:v>0.8</c:v>
                </c:pt>
                <c:pt idx="2">
                  <c:v>0.85</c:v>
                </c:pt>
              </c:numCache>
            </c:numRef>
          </c:cat>
          <c:val>
            <c:numRef>
              <c:f>'6.000'!$G$61:$I$61</c:f>
              <c:numCache>
                <c:formatCode>#,##0_ ;[Red]\-#,##0\ </c:formatCode>
                <c:ptCount val="3"/>
                <c:pt idx="0">
                  <c:v>1080.6473841066677</c:v>
                </c:pt>
                <c:pt idx="1">
                  <c:v>1380.9959209066683</c:v>
                </c:pt>
                <c:pt idx="2">
                  <c:v>1681.344457706668</c:v>
                </c:pt>
              </c:numCache>
            </c:numRef>
          </c:val>
        </c:ser>
        <c:dLbls>
          <c:showLegendKey val="0"/>
          <c:showVal val="0"/>
          <c:showCatName val="0"/>
          <c:showSerName val="0"/>
          <c:showPercent val="0"/>
          <c:showBubbleSize val="0"/>
        </c:dLbls>
        <c:gapWidth val="150"/>
        <c:axId val="48086016"/>
        <c:axId val="57710080"/>
      </c:barChart>
      <c:lineChart>
        <c:grouping val="stacked"/>
        <c:varyColors val="0"/>
        <c:ser>
          <c:idx val="7"/>
          <c:order val="1"/>
          <c:tx>
            <c:v>Verwertung je Akh bei Neubau</c:v>
          </c:tx>
          <c:spPr>
            <a:ln w="12700">
              <a:noFill/>
              <a:prstDash val="solid"/>
            </a:ln>
          </c:spPr>
          <c:marker>
            <c:symbol val="diamond"/>
            <c:size val="10"/>
            <c:spPr>
              <a:solidFill>
                <a:srgbClr val="002060"/>
              </a:solidFill>
              <a:ln w="22225"/>
            </c:spPr>
          </c:marker>
          <c:cat>
            <c:numRef>
              <c:f>'6.000'!$G$42:$J$42</c:f>
              <c:numCache>
                <c:formatCode>0%</c:formatCode>
                <c:ptCount val="4"/>
                <c:pt idx="0">
                  <c:v>0.75</c:v>
                </c:pt>
                <c:pt idx="1">
                  <c:v>0.8</c:v>
                </c:pt>
                <c:pt idx="2">
                  <c:v>0.85</c:v>
                </c:pt>
              </c:numCache>
            </c:numRef>
          </c:cat>
          <c:val>
            <c:numRef>
              <c:f>('6.000'!$G$70,'6.000'!$H$70,'6.000'!$I$70)</c:f>
              <c:numCache>
                <c:formatCode>#,##0.00_ ;[Red]\-#,##0.00\ </c:formatCode>
                <c:ptCount val="3"/>
                <c:pt idx="0">
                  <c:v>15.984760572748771</c:v>
                </c:pt>
                <c:pt idx="1">
                  <c:v>23.330512947183831</c:v>
                </c:pt>
                <c:pt idx="2">
                  <c:v>30.558785221625751</c:v>
                </c:pt>
              </c:numCache>
            </c:numRef>
          </c:val>
          <c:smooth val="0"/>
        </c:ser>
        <c:dLbls>
          <c:showLegendKey val="0"/>
          <c:showVal val="0"/>
          <c:showCatName val="0"/>
          <c:showSerName val="0"/>
          <c:showPercent val="0"/>
          <c:showBubbleSize val="0"/>
        </c:dLbls>
        <c:marker val="1"/>
        <c:smooth val="0"/>
        <c:axId val="57720192"/>
        <c:axId val="57718272"/>
      </c:lineChart>
      <c:catAx>
        <c:axId val="4808601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de-DE"/>
                  <a:t>Legeleistung</a:t>
                </a:r>
                <a:r>
                  <a:rPr lang="de-DE" baseline="0"/>
                  <a:t> je Durchschnittshenne</a:t>
                </a:r>
                <a:endParaRPr lang="de-DE"/>
              </a:p>
            </c:rich>
          </c:tx>
          <c:layout>
            <c:manualLayout>
              <c:xMode val="edge"/>
              <c:yMode val="edge"/>
              <c:x val="0.15990328846166793"/>
              <c:y val="0.9355743702694220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de-DE"/>
          </a:p>
        </c:txPr>
        <c:crossAx val="57710080"/>
        <c:crosses val="autoZero"/>
        <c:auto val="0"/>
        <c:lblAlgn val="ctr"/>
        <c:lblOffset val="100"/>
        <c:tickLblSkip val="1"/>
        <c:tickMarkSkip val="1"/>
        <c:noMultiLvlLbl val="0"/>
      </c:catAx>
      <c:valAx>
        <c:axId val="57710080"/>
        <c:scaling>
          <c:orientation val="minMax"/>
        </c:scaling>
        <c:delete val="0"/>
        <c:axPos val="l"/>
        <c:title>
          <c:tx>
            <c:rich>
              <a:bodyPr rot="0" vert="horz"/>
              <a:lstStyle/>
              <a:p>
                <a:pPr algn="l">
                  <a:defRPr sz="1400" b="1" i="0" u="none" strike="noStrike" baseline="0">
                    <a:solidFill>
                      <a:srgbClr val="000000"/>
                    </a:solidFill>
                    <a:latin typeface="Arial"/>
                    <a:ea typeface="Arial"/>
                    <a:cs typeface="Arial"/>
                  </a:defRPr>
                </a:pPr>
                <a:r>
                  <a:rPr lang="en-US" sz="1400" b="0"/>
                  <a:t>DB je 100 Hennen</a:t>
                </a:r>
              </a:p>
            </c:rich>
          </c:tx>
          <c:layout>
            <c:manualLayout>
              <c:xMode val="edge"/>
              <c:yMode val="edge"/>
              <c:x val="2.3881364668577133E-2"/>
              <c:y val="9.23164292913356E-2"/>
            </c:manualLayout>
          </c:layout>
          <c:overlay val="0"/>
          <c:spPr>
            <a:noFill/>
            <a:ln w="25400">
              <a:noFill/>
            </a:ln>
          </c:spPr>
        </c:title>
        <c:numFmt formatCode="#,##0\ \€;[Red]\-#,##0\ \€"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48086016"/>
        <c:crosses val="autoZero"/>
        <c:crossBetween val="between"/>
      </c:valAx>
      <c:valAx>
        <c:axId val="57718272"/>
        <c:scaling>
          <c:orientation val="minMax"/>
        </c:scaling>
        <c:delete val="0"/>
        <c:axPos val="r"/>
        <c:numFmt formatCode="#,##0.00_ ;[Red]\-#,##0.00\ " sourceLinked="1"/>
        <c:majorTickMark val="out"/>
        <c:minorTickMark val="none"/>
        <c:tickLblPos val="nextTo"/>
        <c:txPr>
          <a:bodyPr/>
          <a:lstStyle/>
          <a:p>
            <a:pPr>
              <a:defRPr sz="1400"/>
            </a:pPr>
            <a:endParaRPr lang="de-DE"/>
          </a:p>
        </c:txPr>
        <c:crossAx val="57720192"/>
        <c:crosses val="max"/>
        <c:crossBetween val="between"/>
      </c:valAx>
      <c:catAx>
        <c:axId val="57720192"/>
        <c:scaling>
          <c:orientation val="minMax"/>
        </c:scaling>
        <c:delete val="1"/>
        <c:axPos val="b"/>
        <c:numFmt formatCode="0%" sourceLinked="1"/>
        <c:majorTickMark val="out"/>
        <c:minorTickMark val="none"/>
        <c:tickLblPos val="nextTo"/>
        <c:crossAx val="57718272"/>
        <c:crosses val="autoZero"/>
        <c:auto val="0"/>
        <c:lblAlgn val="ctr"/>
        <c:lblOffset val="100"/>
        <c:noMultiLvlLbl val="0"/>
      </c:catAx>
      <c:spPr>
        <a:solidFill>
          <a:srgbClr val="FFFFC0"/>
        </a:solidFill>
        <a:ln w="12700">
          <a:noFill/>
          <a:prstDash val="solid"/>
        </a:ln>
      </c:spPr>
    </c:plotArea>
    <c:legend>
      <c:legendPos val="r"/>
      <c:layout>
        <c:manualLayout>
          <c:xMode val="edge"/>
          <c:yMode val="edge"/>
          <c:x val="0.21240804990322809"/>
          <c:y val="8.1408886210239839E-2"/>
          <c:w val="0.54724592212764234"/>
          <c:h val="0.16331763358239043"/>
        </c:manualLayout>
      </c:layout>
      <c:overlay val="0"/>
      <c:spPr>
        <a:noFill/>
        <a:ln w="3175">
          <a:noFill/>
          <a:prstDash val="solid"/>
        </a:ln>
      </c:spPr>
      <c:txPr>
        <a:bodyPr/>
        <a:lstStyle/>
        <a:p>
          <a:pPr>
            <a:defRPr sz="105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99"/>
    </a:solidFill>
    <a:ln w="3175">
      <a:no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50" b="1" i="0" u="none" strike="noStrike" baseline="0">
                <a:solidFill>
                  <a:srgbClr val="000000"/>
                </a:solidFill>
                <a:latin typeface="Arial"/>
                <a:ea typeface="Arial"/>
                <a:cs typeface="Arial"/>
              </a:defRPr>
            </a:pPr>
            <a:r>
              <a:rPr lang="de-DE" sz="1600"/>
              <a:t>Erforderlicher Eierpreis zur</a:t>
            </a:r>
          </a:p>
          <a:p>
            <a:pPr>
              <a:defRPr sz="1350" b="1" i="0" u="none" strike="noStrike" baseline="0">
                <a:solidFill>
                  <a:srgbClr val="000000"/>
                </a:solidFill>
                <a:latin typeface="Arial"/>
                <a:ea typeface="Arial"/>
                <a:cs typeface="Arial"/>
              </a:defRPr>
            </a:pPr>
            <a:r>
              <a:rPr lang="de-DE" sz="1600"/>
              <a:t> Deckung der Vollkosten           </a:t>
            </a:r>
            <a:r>
              <a:rPr lang="de-DE" sz="1400" b="0"/>
              <a:t>ohne Mwst.</a:t>
            </a:r>
          </a:p>
        </c:rich>
      </c:tx>
      <c:layout>
        <c:manualLayout>
          <c:xMode val="edge"/>
          <c:yMode val="edge"/>
          <c:x val="0.22115637905694951"/>
          <c:y val="5.1189347285854152E-4"/>
        </c:manualLayout>
      </c:layout>
      <c:overlay val="0"/>
      <c:spPr>
        <a:noFill/>
        <a:ln w="25400">
          <a:noFill/>
        </a:ln>
      </c:spPr>
    </c:title>
    <c:autoTitleDeleted val="0"/>
    <c:plotArea>
      <c:layout>
        <c:manualLayout>
          <c:layoutTarget val="inner"/>
          <c:xMode val="edge"/>
          <c:yMode val="edge"/>
          <c:x val="0.18965054427524117"/>
          <c:y val="0.25167126847848986"/>
          <c:w val="0.7591986587106081"/>
          <c:h val="0.60447929294990665"/>
        </c:manualLayout>
      </c:layout>
      <c:barChart>
        <c:barDir val="col"/>
        <c:grouping val="clustered"/>
        <c:varyColors val="0"/>
        <c:ser>
          <c:idx val="0"/>
          <c:order val="0"/>
          <c:tx>
            <c:strRef>
              <c:f>'6.000'!$B$77</c:f>
              <c:strCache>
                <c:ptCount val="1"/>
                <c:pt idx="0">
                  <c:v>Erforderlicher durchschn.   Eierpreis (o. Mwst)</c:v>
                </c:pt>
              </c:strCache>
            </c:strRef>
          </c:tx>
          <c:spPr>
            <a:solidFill>
              <a:srgbClr val="00B0F0"/>
            </a:solidFill>
            <a:ln w="12700">
              <a:noFill/>
              <a:prstDash val="solid"/>
            </a:ln>
          </c:spPr>
          <c:invertIfNegative val="0"/>
          <c:dLbls>
            <c:numFmt formatCode="##.##&quot; Cent&quot;" sourceLinked="0"/>
            <c:spPr>
              <a:solidFill>
                <a:srgbClr val="FFFFC0"/>
              </a:solidFill>
              <a:ln w="3175">
                <a:noFill/>
                <a:prstDash val="solid"/>
              </a:ln>
            </c:spPr>
            <c:txPr>
              <a:bodyPr/>
              <a:lstStyle/>
              <a:p>
                <a:pPr>
                  <a:defRPr sz="14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'6.000'!$G$42:$J$42</c:f>
              <c:numCache>
                <c:formatCode>0%</c:formatCode>
                <c:ptCount val="4"/>
                <c:pt idx="0">
                  <c:v>0.75</c:v>
                </c:pt>
                <c:pt idx="1">
                  <c:v>0.8</c:v>
                </c:pt>
                <c:pt idx="2">
                  <c:v>0.85</c:v>
                </c:pt>
              </c:numCache>
            </c:numRef>
          </c:cat>
          <c:val>
            <c:numRef>
              <c:f>'6.000'!$G$77:$I$77</c:f>
              <c:numCache>
                <c:formatCode>#,##0.00</c:formatCode>
                <c:ptCount val="3"/>
                <c:pt idx="0">
                  <c:v>20.052713095661879</c:v>
                </c:pt>
                <c:pt idx="1">
                  <c:v>18.816562624405229</c:v>
                </c:pt>
                <c:pt idx="2">
                  <c:v>17.725841620355251</c:v>
                </c:pt>
              </c:numCache>
            </c:numRef>
          </c:val>
        </c:ser>
        <c:dLbls>
          <c:showLegendKey val="0"/>
          <c:showVal val="0"/>
          <c:showCatName val="0"/>
          <c:showSerName val="0"/>
          <c:showPercent val="0"/>
          <c:showBubbleSize val="0"/>
        </c:dLbls>
        <c:gapWidth val="150"/>
        <c:axId val="77631872"/>
        <c:axId val="77634560"/>
      </c:barChart>
      <c:catAx>
        <c:axId val="77631872"/>
        <c:scaling>
          <c:orientation val="minMax"/>
        </c:scaling>
        <c:delete val="0"/>
        <c:axPos val="b"/>
        <c:title>
          <c:tx>
            <c:rich>
              <a:bodyPr/>
              <a:lstStyle/>
              <a:p>
                <a:pPr>
                  <a:defRPr sz="1400"/>
                </a:pPr>
                <a:r>
                  <a:rPr lang="de-DE" sz="1400" b="1"/>
                  <a:t>Legeleistung je Durchschnittshenne</a:t>
                </a:r>
              </a:p>
            </c:rich>
          </c:tx>
          <c:layout>
            <c:manualLayout>
              <c:xMode val="edge"/>
              <c:yMode val="edge"/>
              <c:x val="0.13173597285843666"/>
              <c:y val="0.93625694546329008"/>
            </c:manualLayout>
          </c:layout>
          <c:overlay val="0"/>
        </c:title>
        <c:numFmt formatCode="0%" sourceLinked="1"/>
        <c:majorTickMark val="out"/>
        <c:minorTickMark val="none"/>
        <c:tickLblPos val="nextTo"/>
        <c:spPr>
          <a:ln w="3175">
            <a:solidFill>
              <a:srgbClr val="000000"/>
            </a:solidFill>
            <a:prstDash val="solid"/>
          </a:ln>
        </c:spPr>
        <c:txPr>
          <a:bodyPr rot="0" vert="horz" anchor="b" anchorCtr="0"/>
          <a:lstStyle/>
          <a:p>
            <a:pPr>
              <a:defRPr sz="1400" b="1" i="0" u="none" strike="noStrike" baseline="0">
                <a:solidFill>
                  <a:srgbClr val="000000"/>
                </a:solidFill>
                <a:latin typeface="Arial"/>
                <a:ea typeface="Arial"/>
                <a:cs typeface="Arial"/>
              </a:defRPr>
            </a:pPr>
            <a:endParaRPr lang="de-DE"/>
          </a:p>
        </c:txPr>
        <c:crossAx val="77634560"/>
        <c:crosses val="autoZero"/>
        <c:auto val="1"/>
        <c:lblAlgn val="ctr"/>
        <c:lblOffset val="100"/>
        <c:noMultiLvlLbl val="0"/>
      </c:catAx>
      <c:valAx>
        <c:axId val="77634560"/>
        <c:scaling>
          <c:orientation val="minMax"/>
        </c:scaling>
        <c:delete val="0"/>
        <c:axPos val="l"/>
        <c:majorGridlines>
          <c:spPr>
            <a:ln w="3175">
              <a:solidFill>
                <a:srgbClr val="000000"/>
              </a:solidFill>
              <a:prstDash val="solid"/>
            </a:ln>
          </c:spPr>
        </c:majorGridlines>
        <c:numFmt formatCode="General"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77631872"/>
        <c:crosses val="autoZero"/>
        <c:crossBetween val="between"/>
      </c:valAx>
      <c:spPr>
        <a:solidFill>
          <a:srgbClr val="FFFFC0"/>
        </a:solidFill>
        <a:ln w="12700">
          <a:noFill/>
          <a:prstDash val="solid"/>
        </a:ln>
      </c:spPr>
    </c:plotArea>
    <c:plotVisOnly val="1"/>
    <c:dispBlanksAs val="gap"/>
    <c:showDLblsOverMax val="0"/>
  </c:chart>
  <c:spPr>
    <a:solidFill>
      <a:srgbClr val="FFFF99"/>
    </a:solidFill>
    <a:ln w="3175">
      <a:noFill/>
      <a:prstDash val="solid"/>
    </a:ln>
  </c:spPr>
  <c:txPr>
    <a:bodyPr/>
    <a:lstStyle/>
    <a:p>
      <a:pPr>
        <a:defRPr sz="875"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2250" b="1" i="0" u="none" strike="noStrike" baseline="0">
                <a:solidFill>
                  <a:srgbClr val="000000"/>
                </a:solidFill>
                <a:latin typeface="Arial"/>
                <a:ea typeface="Arial"/>
                <a:cs typeface="Arial"/>
              </a:defRPr>
            </a:pPr>
            <a:r>
              <a:rPr lang="de-DE" sz="1600"/>
              <a:t>Kostenstruktur Eiererzeugung                        </a:t>
            </a:r>
          </a:p>
          <a:p>
            <a:pPr algn="l">
              <a:defRPr sz="2250" b="1" i="0" u="none" strike="noStrike" baseline="0">
                <a:solidFill>
                  <a:srgbClr val="000000"/>
                </a:solidFill>
                <a:latin typeface="Arial"/>
                <a:ea typeface="Arial"/>
                <a:cs typeface="Arial"/>
              </a:defRPr>
            </a:pPr>
            <a:r>
              <a:rPr lang="de-DE" sz="1400" b="0"/>
              <a:t>orange =</a:t>
            </a:r>
            <a:r>
              <a:rPr lang="de-DE" sz="1400" b="0" baseline="0"/>
              <a:t> variable Kosten,                                                                                                                                    blau = feste und kalkulatorische Kosten</a:t>
            </a:r>
            <a:endParaRPr lang="de-DE" sz="1800" b="0"/>
          </a:p>
        </c:rich>
      </c:tx>
      <c:layout>
        <c:manualLayout>
          <c:xMode val="edge"/>
          <c:yMode val="edge"/>
          <c:x val="0.32498530738403719"/>
          <c:y val="1.3143805211371059E-2"/>
        </c:manualLayout>
      </c:layout>
      <c:overlay val="0"/>
      <c:spPr>
        <a:noFill/>
        <a:ln w="25400">
          <a:noFill/>
        </a:ln>
      </c:spPr>
    </c:title>
    <c:autoTitleDeleted val="0"/>
    <c:plotArea>
      <c:layout>
        <c:manualLayout>
          <c:layoutTarget val="inner"/>
          <c:xMode val="edge"/>
          <c:yMode val="edge"/>
          <c:x val="0.33729095862576086"/>
          <c:y val="0.25793934007226749"/>
          <c:w val="0.44401934622614486"/>
          <c:h val="0.57783312577833124"/>
        </c:manualLayout>
      </c:layout>
      <c:pieChart>
        <c:varyColors val="1"/>
        <c:ser>
          <c:idx val="0"/>
          <c:order val="0"/>
          <c:spPr>
            <a:ln w="12700">
              <a:solidFill>
                <a:srgbClr val="000000"/>
              </a:solidFill>
              <a:prstDash val="solid"/>
            </a:ln>
          </c:spPr>
          <c:dPt>
            <c:idx val="0"/>
            <c:bubble3D val="0"/>
            <c:spPr>
              <a:solidFill>
                <a:schemeClr val="accent2">
                  <a:lumMod val="60000"/>
                  <a:lumOff val="40000"/>
                </a:schemeClr>
              </a:solidFill>
              <a:ln w="12700">
                <a:solidFill>
                  <a:srgbClr val="000000"/>
                </a:solidFill>
                <a:prstDash val="solid"/>
              </a:ln>
            </c:spPr>
          </c:dPt>
          <c:dPt>
            <c:idx val="1"/>
            <c:bubble3D val="0"/>
            <c:spPr>
              <a:solidFill>
                <a:schemeClr val="accent6">
                  <a:lumMod val="60000"/>
                  <a:lumOff val="40000"/>
                </a:schemeClr>
              </a:solidFill>
              <a:ln w="12700">
                <a:solidFill>
                  <a:srgbClr val="000000"/>
                </a:solidFill>
                <a:prstDash val="solid"/>
              </a:ln>
            </c:spPr>
          </c:dPt>
          <c:dPt>
            <c:idx val="2"/>
            <c:bubble3D val="0"/>
            <c:spPr>
              <a:solidFill>
                <a:schemeClr val="accent6">
                  <a:lumMod val="75000"/>
                </a:schemeClr>
              </a:solidFill>
              <a:ln w="12700">
                <a:solidFill>
                  <a:srgbClr val="000000"/>
                </a:solidFill>
                <a:prstDash val="solid"/>
              </a:ln>
            </c:spPr>
          </c:dPt>
          <c:dPt>
            <c:idx val="3"/>
            <c:bubble3D val="0"/>
            <c:spPr>
              <a:solidFill>
                <a:schemeClr val="accent2">
                  <a:lumMod val="60000"/>
                  <a:lumOff val="40000"/>
                </a:schemeClr>
              </a:solidFill>
              <a:ln w="12700">
                <a:solidFill>
                  <a:srgbClr val="000000"/>
                </a:solidFill>
                <a:prstDash val="solid"/>
              </a:ln>
            </c:spPr>
          </c:dPt>
          <c:dPt>
            <c:idx val="4"/>
            <c:bubble3D val="0"/>
            <c:spPr>
              <a:solidFill>
                <a:schemeClr val="accent6">
                  <a:lumMod val="60000"/>
                  <a:lumOff val="40000"/>
                </a:schemeClr>
              </a:solidFill>
              <a:ln w="12700">
                <a:solidFill>
                  <a:srgbClr val="000000"/>
                </a:solidFill>
                <a:prstDash val="solid"/>
              </a:ln>
            </c:spPr>
          </c:dPt>
          <c:dPt>
            <c:idx val="5"/>
            <c:bubble3D val="0"/>
          </c:dPt>
          <c:dPt>
            <c:idx val="6"/>
            <c:bubble3D val="0"/>
            <c:spPr>
              <a:solidFill>
                <a:schemeClr val="accent6">
                  <a:lumMod val="75000"/>
                </a:schemeClr>
              </a:solidFill>
              <a:ln w="12700">
                <a:solidFill>
                  <a:srgbClr val="000000"/>
                </a:solidFill>
                <a:prstDash val="solid"/>
              </a:ln>
            </c:spPr>
          </c:dPt>
          <c:dPt>
            <c:idx val="7"/>
            <c:bubble3D val="0"/>
            <c:spPr>
              <a:solidFill>
                <a:schemeClr val="accent6">
                  <a:lumMod val="75000"/>
                </a:schemeClr>
              </a:solidFill>
              <a:ln w="12700">
                <a:solidFill>
                  <a:srgbClr val="000000"/>
                </a:solidFill>
                <a:prstDash val="solid"/>
              </a:ln>
            </c:spPr>
          </c:dPt>
          <c:dPt>
            <c:idx val="8"/>
            <c:bubble3D val="0"/>
          </c:dPt>
          <c:dPt>
            <c:idx val="9"/>
            <c:bubble3D val="0"/>
            <c:spPr>
              <a:solidFill>
                <a:schemeClr val="accent1">
                  <a:lumMod val="60000"/>
                  <a:lumOff val="40000"/>
                </a:schemeClr>
              </a:solidFill>
              <a:ln w="12700">
                <a:solidFill>
                  <a:srgbClr val="000000"/>
                </a:solidFill>
                <a:prstDash val="solid"/>
              </a:ln>
            </c:spPr>
          </c:dPt>
          <c:dPt>
            <c:idx val="10"/>
            <c:bubble3D val="0"/>
          </c:dPt>
          <c:dPt>
            <c:idx val="11"/>
            <c:bubble3D val="0"/>
            <c:spPr>
              <a:solidFill>
                <a:srgbClr val="00B0F0"/>
              </a:solidFill>
              <a:ln w="12700">
                <a:solidFill>
                  <a:srgbClr val="000000"/>
                </a:solidFill>
                <a:prstDash val="solid"/>
              </a:ln>
            </c:spPr>
          </c:dPt>
          <c:dPt>
            <c:idx val="12"/>
            <c:bubble3D val="0"/>
          </c:dPt>
          <c:dLbls>
            <c:dLbl>
              <c:idx val="0"/>
              <c:layout>
                <c:manualLayout>
                  <c:x val="7.2321409136751377E-2"/>
                  <c:y val="-3.5156497055915379E-3"/>
                </c:manualLayout>
              </c:layout>
              <c:dLblPos val="bestFit"/>
              <c:showLegendKey val="0"/>
              <c:showVal val="0"/>
              <c:showCatName val="1"/>
              <c:showSerName val="0"/>
              <c:showPercent val="1"/>
              <c:showBubbleSize val="0"/>
            </c:dLbl>
            <c:dLbl>
              <c:idx val="1"/>
              <c:layout>
                <c:manualLayout>
                  <c:x val="0.13767767181895796"/>
                  <c:y val="2.3088505389400042E-2"/>
                </c:manualLayout>
              </c:layout>
              <c:dLblPos val="bestFit"/>
              <c:showLegendKey val="0"/>
              <c:showVal val="0"/>
              <c:showCatName val="1"/>
              <c:showSerName val="0"/>
              <c:showPercent val="1"/>
              <c:showBubbleSize val="0"/>
            </c:dLbl>
            <c:dLbl>
              <c:idx val="2"/>
              <c:layout>
                <c:manualLayout>
                  <c:x val="0.13892128385650332"/>
                  <c:y val="0.29380010783183491"/>
                </c:manualLayout>
              </c:layout>
              <c:dLblPos val="bestFit"/>
              <c:showLegendKey val="0"/>
              <c:showVal val="0"/>
              <c:showCatName val="1"/>
              <c:showSerName val="0"/>
              <c:showPercent val="0"/>
              <c:showBubbleSize val="0"/>
            </c:dLbl>
            <c:dLbl>
              <c:idx val="3"/>
              <c:layout>
                <c:manualLayout>
                  <c:x val="-4.9456554599695751E-2"/>
                  <c:y val="0.24593564155245279"/>
                </c:manualLayout>
              </c:layout>
              <c:dLblPos val="bestFit"/>
              <c:showLegendKey val="0"/>
              <c:showVal val="0"/>
              <c:showCatName val="1"/>
              <c:showSerName val="0"/>
              <c:showPercent val="0"/>
              <c:showBubbleSize val="0"/>
            </c:dLbl>
            <c:dLbl>
              <c:idx val="4"/>
              <c:layout>
                <c:manualLayout>
                  <c:x val="-0.17408306808756555"/>
                  <c:y val="0.1820749489097693"/>
                </c:manualLayout>
              </c:layout>
              <c:dLblPos val="bestFit"/>
              <c:showLegendKey val="0"/>
              <c:showVal val="0"/>
              <c:showCatName val="1"/>
              <c:showSerName val="0"/>
              <c:showPercent val="0"/>
              <c:showBubbleSize val="0"/>
            </c:dLbl>
            <c:dLbl>
              <c:idx val="5"/>
              <c:layout>
                <c:manualLayout>
                  <c:x val="-0.14938363569084318"/>
                  <c:y val="2.7261196632791272E-2"/>
                </c:manualLayout>
              </c:layout>
              <c:tx>
                <c:rich>
                  <a:bodyPr/>
                  <a:lstStyle/>
                  <a:p>
                    <a:r>
                      <a:rPr lang="en-US"/>
                      <a:t>    variable Maschinenkosten &amp; Düngerausbringung</a:t>
                    </a:r>
                  </a:p>
                </c:rich>
              </c:tx>
              <c:dLblPos val="bestFit"/>
              <c:showLegendKey val="0"/>
              <c:showVal val="0"/>
              <c:showCatName val="1"/>
              <c:showSerName val="0"/>
              <c:showPercent val="0"/>
              <c:showBubbleSize val="0"/>
            </c:dLbl>
            <c:dLbl>
              <c:idx val="6"/>
              <c:layout>
                <c:manualLayout>
                  <c:x val="-0.20203713422641864"/>
                  <c:y val="-6.6686193705300975E-2"/>
                </c:manualLayout>
              </c:layout>
              <c:dLblPos val="bestFit"/>
              <c:showLegendKey val="0"/>
              <c:showVal val="0"/>
              <c:showCatName val="1"/>
              <c:showSerName val="0"/>
              <c:showPercent val="0"/>
              <c:showBubbleSize val="0"/>
            </c:dLbl>
            <c:dLbl>
              <c:idx val="7"/>
              <c:layout>
                <c:manualLayout>
                  <c:x val="-0.18020765563894137"/>
                  <c:y val="-0.13023731144301159"/>
                </c:manualLayout>
              </c:layout>
              <c:dLblPos val="bestFit"/>
              <c:showLegendKey val="0"/>
              <c:showVal val="0"/>
              <c:showCatName val="1"/>
              <c:showSerName val="0"/>
              <c:showPercent val="0"/>
              <c:showBubbleSize val="0"/>
            </c:dLbl>
            <c:dLbl>
              <c:idx val="8"/>
              <c:layout>
                <c:manualLayout>
                  <c:x val="-0.13703385710796109"/>
                  <c:y val="-0.26354128637993751"/>
                </c:manualLayout>
              </c:layout>
              <c:tx>
                <c:rich>
                  <a:bodyPr/>
                  <a:lstStyle/>
                  <a:p>
                    <a:pPr>
                      <a:defRPr sz="1400" b="0" i="0" u="none" strike="noStrike" baseline="0">
                        <a:solidFill>
                          <a:srgbClr val="000000"/>
                        </a:solidFill>
                        <a:latin typeface="Arial"/>
                        <a:ea typeface="Arial"/>
                        <a:cs typeface="Arial"/>
                      </a:defRPr>
                    </a:pPr>
                    <a:r>
                      <a:rPr lang="en-US"/>
                      <a:t>Zinsansatz Vieh- &amp; Umlaufvermögen</a:t>
                    </a:r>
                  </a:p>
                </c:rich>
              </c:tx>
              <c:numFmt formatCode="0.0%" sourceLinked="0"/>
              <c:spPr>
                <a:noFill/>
                <a:ln w="25400">
                  <a:noFill/>
                </a:ln>
              </c:spPr>
              <c:dLblPos val="bestFit"/>
              <c:showLegendKey val="0"/>
              <c:showVal val="0"/>
              <c:showCatName val="1"/>
              <c:showSerName val="0"/>
              <c:showPercent val="0"/>
              <c:showBubbleSize val="0"/>
            </c:dLbl>
            <c:dLbl>
              <c:idx val="9"/>
              <c:layout>
                <c:manualLayout>
                  <c:x val="-0.10521908322913467"/>
                  <c:y val="-0.34789590157621086"/>
                </c:manualLayout>
              </c:layout>
              <c:tx>
                <c:rich>
                  <a:bodyPr/>
                  <a:lstStyle/>
                  <a:p>
                    <a:r>
                      <a:rPr lang="en-US"/>
                      <a:t>Gemeinkosten</a:t>
                    </a:r>
                    <a:br>
                      <a:rPr lang="en-US"/>
                    </a:br>
                    <a:r>
                      <a:rPr lang="en-US"/>
                      <a:t>(inkl. 19 % Mwst.)</a:t>
                    </a:r>
                  </a:p>
                </c:rich>
              </c:tx>
              <c:dLblPos val="bestFit"/>
              <c:showLegendKey val="0"/>
              <c:showVal val="0"/>
              <c:showCatName val="1"/>
              <c:showSerName val="0"/>
              <c:showPercent val="0"/>
              <c:showBubbleSize val="0"/>
            </c:dLbl>
            <c:dLbl>
              <c:idx val="10"/>
              <c:layout>
                <c:manualLayout>
                  <c:x val="-1.1166871839273665E-2"/>
                  <c:y val="-0.17861040959189847"/>
                </c:manualLayout>
              </c:layout>
              <c:showLegendKey val="0"/>
              <c:showVal val="0"/>
              <c:showCatName val="1"/>
              <c:showSerName val="0"/>
              <c:showPercent val="1"/>
              <c:showBubbleSize val="0"/>
            </c:dLbl>
            <c:dLbl>
              <c:idx val="11"/>
              <c:layout>
                <c:manualLayout>
                  <c:x val="1.762025573616657E-2"/>
                  <c:y val="-4.6493242350483521E-2"/>
                </c:manualLayout>
              </c:layout>
              <c:dLblPos val="bestFit"/>
              <c:showLegendKey val="0"/>
              <c:showVal val="0"/>
              <c:showCatName val="1"/>
              <c:showSerName val="0"/>
              <c:showPercent val="1"/>
              <c:showBubbleSize val="0"/>
            </c:dLbl>
            <c:dLbl>
              <c:idx val="12"/>
              <c:layout>
                <c:manualLayout>
                  <c:x val="-0.10365123015148631"/>
                  <c:y val="-7.8220050108180228E-2"/>
                </c:manualLayout>
              </c:layout>
              <c:dLblPos val="bestFit"/>
              <c:showLegendKey val="0"/>
              <c:showVal val="0"/>
              <c:showCatName val="1"/>
              <c:showSerName val="0"/>
              <c:showPercent val="0"/>
              <c:showBubbleSize val="0"/>
            </c:dLbl>
            <c:dLbl>
              <c:idx val="13"/>
              <c:layout>
                <c:manualLayout>
                  <c:x val="-2.1081282317525186E-2"/>
                  <c:y val="-7.1388528856802719E-2"/>
                </c:manualLayout>
              </c:layout>
              <c:dLblPos val="bestFit"/>
              <c:showLegendKey val="0"/>
              <c:showVal val="0"/>
              <c:showCatName val="1"/>
              <c:showSerName val="0"/>
              <c:showPercent val="0"/>
              <c:showBubbleSize val="0"/>
            </c:dLbl>
            <c:dLbl>
              <c:idx val="14"/>
              <c:layout>
                <c:manualLayout>
                  <c:x val="-9.384652729115428E-3"/>
                  <c:y val="-3.5170773408630257E-2"/>
                </c:manualLayout>
              </c:layout>
              <c:showLegendKey val="0"/>
              <c:showVal val="0"/>
              <c:showCatName val="1"/>
              <c:showSerName val="0"/>
              <c:showPercent val="0"/>
              <c:showBubbleSize val="0"/>
            </c:dLbl>
            <c:numFmt formatCode="0%" sourceLinked="0"/>
            <c:spPr>
              <a:noFill/>
              <a:ln w="25400">
                <a:noFill/>
              </a:ln>
            </c:spPr>
            <c:txPr>
              <a:bodyPr/>
              <a:lstStyle/>
              <a:p>
                <a:pPr>
                  <a:defRPr sz="1400" b="0" i="0" u="none" strike="noStrike" baseline="0">
                    <a:solidFill>
                      <a:srgbClr val="000000"/>
                    </a:solidFill>
                    <a:latin typeface="Arial"/>
                    <a:ea typeface="Arial"/>
                    <a:cs typeface="Arial"/>
                  </a:defRPr>
                </a:pPr>
                <a:endParaRPr lang="de-DE"/>
              </a:p>
            </c:txPr>
            <c:showLegendKey val="0"/>
            <c:showVal val="0"/>
            <c:showCatName val="1"/>
            <c:showSerName val="0"/>
            <c:showPercent val="0"/>
            <c:showBubbleSize val="0"/>
            <c:showLeaderLines val="1"/>
          </c:dLbls>
          <c:cat>
            <c:strRef>
              <c:f>Grafiken6.000!$N$16:$N$27</c:f>
              <c:strCache>
                <c:ptCount val="12"/>
                <c:pt idx="0">
                  <c:v>Zukaufstier</c:v>
                </c:pt>
                <c:pt idx="1">
                  <c:v>Futter</c:v>
                </c:pt>
                <c:pt idx="2">
                  <c:v>Tierarzt und Versicherung</c:v>
                </c:pt>
                <c:pt idx="3">
                  <c:v>    Energie, Wasser</c:v>
                </c:pt>
                <c:pt idx="4">
                  <c:v>    Einstreu, Pflege Auslauf</c:v>
                </c:pt>
                <c:pt idx="5">
                  <c:v>    variable Maschinenkosten&amp; Düngerausbringung</c:v>
                </c:pt>
                <c:pt idx="6">
                  <c:v>    Beratung, Kontrolle</c:v>
                </c:pt>
                <c:pt idx="7">
                  <c:v>    Sortierung, Verpackung </c:v>
                </c:pt>
                <c:pt idx="8">
                  <c:v>Zinsansatz Vieh- und Umlaufverm.</c:v>
                </c:pt>
                <c:pt idx="9">
                  <c:v>Gemeinkosten (ohne Mwst.)</c:v>
                </c:pt>
                <c:pt idx="10">
                  <c:v>Arbeit</c:v>
                </c:pt>
                <c:pt idx="11">
                  <c:v>Stall</c:v>
                </c:pt>
              </c:strCache>
            </c:strRef>
          </c:cat>
          <c:val>
            <c:numRef>
              <c:f>Grafiken6.000!$R$16:$R$27</c:f>
              <c:numCache>
                <c:formatCode>0.00</c:formatCode>
                <c:ptCount val="12"/>
                <c:pt idx="0">
                  <c:v>4.180709562890736</c:v>
                </c:pt>
                <c:pt idx="1">
                  <c:v>9.9388675744166317</c:v>
                </c:pt>
                <c:pt idx="2">
                  <c:v>0.1892575059816306</c:v>
                </c:pt>
                <c:pt idx="3">
                  <c:v>0.48238956494893104</c:v>
                </c:pt>
                <c:pt idx="4">
                  <c:v>9.4869947773289789E-2</c:v>
                </c:pt>
                <c:pt idx="5">
                  <c:v>6.029869561861638E-2</c:v>
                </c:pt>
                <c:pt idx="6">
                  <c:v>4.0199130412410924E-2</c:v>
                </c:pt>
                <c:pt idx="7">
                  <c:v>0.25</c:v>
                </c:pt>
                <c:pt idx="8">
                  <c:v>3.4370256502611336E-2</c:v>
                </c:pt>
                <c:pt idx="9">
                  <c:v>0.20099565206205461</c:v>
                </c:pt>
                <c:pt idx="10">
                  <c:v>2.5844846364283449</c:v>
                </c:pt>
                <c:pt idx="11">
                  <c:v>1.5737959556458874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noFill/>
      <a:prstDash val="solid"/>
    </a:ln>
  </c:spPr>
  <c:txPr>
    <a:bodyPr/>
    <a:lstStyle/>
    <a:p>
      <a:pPr>
        <a:defRPr sz="16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2250" b="1" i="0" u="none" strike="noStrike" baseline="0">
                <a:solidFill>
                  <a:srgbClr val="000000"/>
                </a:solidFill>
                <a:latin typeface="Arial"/>
                <a:ea typeface="Arial"/>
                <a:cs typeface="Arial"/>
              </a:defRPr>
            </a:pPr>
            <a:r>
              <a:rPr lang="de-DE" sz="1600"/>
              <a:t>Kostenstruktur Eiererzeugung                        </a:t>
            </a:r>
          </a:p>
          <a:p>
            <a:pPr algn="l">
              <a:defRPr sz="2250" b="1" i="0" u="none" strike="noStrike" baseline="0">
                <a:solidFill>
                  <a:srgbClr val="000000"/>
                </a:solidFill>
                <a:latin typeface="Arial"/>
                <a:ea typeface="Arial"/>
                <a:cs typeface="Arial"/>
              </a:defRPr>
            </a:pPr>
            <a:endParaRPr lang="de-DE" sz="1600"/>
          </a:p>
        </c:rich>
      </c:tx>
      <c:layout>
        <c:manualLayout>
          <c:xMode val="edge"/>
          <c:yMode val="edge"/>
          <c:x val="0.24051788145779773"/>
          <c:y val="1.9108368002692663E-2"/>
        </c:manualLayout>
      </c:layout>
      <c:overlay val="0"/>
      <c:spPr>
        <a:noFill/>
        <a:ln w="25400">
          <a:noFill/>
        </a:ln>
      </c:spPr>
    </c:title>
    <c:autoTitleDeleted val="0"/>
    <c:plotArea>
      <c:layout>
        <c:manualLayout>
          <c:layoutTarget val="inner"/>
          <c:xMode val="edge"/>
          <c:yMode val="edge"/>
          <c:x val="0.33729095862576086"/>
          <c:y val="0.25793934007226749"/>
          <c:w val="0.44401934622614486"/>
          <c:h val="0.57783312577833124"/>
        </c:manualLayout>
      </c:layout>
      <c:pieChart>
        <c:varyColors val="1"/>
        <c:ser>
          <c:idx val="0"/>
          <c:order val="0"/>
          <c:spPr>
            <a:ln w="12700">
              <a:solidFill>
                <a:srgbClr val="000000"/>
              </a:solidFill>
              <a:prstDash val="solid"/>
            </a:ln>
          </c:spPr>
          <c:dPt>
            <c:idx val="0"/>
            <c:bubble3D val="0"/>
            <c:spPr>
              <a:solidFill>
                <a:schemeClr val="accent2">
                  <a:lumMod val="60000"/>
                  <a:lumOff val="40000"/>
                </a:schemeClr>
              </a:solidFill>
              <a:ln w="12700">
                <a:solidFill>
                  <a:srgbClr val="000000"/>
                </a:solidFill>
                <a:prstDash val="solid"/>
              </a:ln>
            </c:spPr>
          </c:dPt>
          <c:dPt>
            <c:idx val="1"/>
            <c:bubble3D val="0"/>
            <c:spPr>
              <a:solidFill>
                <a:schemeClr val="accent6">
                  <a:lumMod val="60000"/>
                  <a:lumOff val="40000"/>
                </a:schemeClr>
              </a:solidFill>
              <a:ln w="12700">
                <a:solidFill>
                  <a:srgbClr val="000000"/>
                </a:solidFill>
                <a:prstDash val="solid"/>
              </a:ln>
            </c:spPr>
          </c:dPt>
          <c:dPt>
            <c:idx val="2"/>
            <c:bubble3D val="0"/>
            <c:spPr>
              <a:solidFill>
                <a:schemeClr val="accent6">
                  <a:lumMod val="75000"/>
                </a:schemeClr>
              </a:solidFill>
              <a:ln w="12700">
                <a:solidFill>
                  <a:srgbClr val="000000"/>
                </a:solidFill>
                <a:prstDash val="solid"/>
              </a:ln>
            </c:spPr>
          </c:dPt>
          <c:dPt>
            <c:idx val="3"/>
            <c:bubble3D val="0"/>
            <c:spPr>
              <a:solidFill>
                <a:schemeClr val="accent2">
                  <a:lumMod val="60000"/>
                  <a:lumOff val="40000"/>
                </a:schemeClr>
              </a:solidFill>
              <a:ln w="12700">
                <a:solidFill>
                  <a:srgbClr val="000000"/>
                </a:solidFill>
                <a:prstDash val="solid"/>
              </a:ln>
            </c:spPr>
          </c:dPt>
          <c:dPt>
            <c:idx val="4"/>
            <c:bubble3D val="0"/>
            <c:spPr>
              <a:solidFill>
                <a:schemeClr val="accent6">
                  <a:lumMod val="60000"/>
                  <a:lumOff val="40000"/>
                </a:schemeClr>
              </a:solidFill>
              <a:ln w="12700">
                <a:solidFill>
                  <a:srgbClr val="000000"/>
                </a:solidFill>
                <a:prstDash val="solid"/>
              </a:ln>
            </c:spPr>
          </c:dPt>
          <c:dPt>
            <c:idx val="5"/>
            <c:bubble3D val="0"/>
          </c:dPt>
          <c:dPt>
            <c:idx val="6"/>
            <c:bubble3D val="0"/>
            <c:spPr>
              <a:solidFill>
                <a:schemeClr val="accent6">
                  <a:lumMod val="75000"/>
                </a:schemeClr>
              </a:solidFill>
              <a:ln w="12700">
                <a:solidFill>
                  <a:srgbClr val="000000"/>
                </a:solidFill>
                <a:prstDash val="solid"/>
              </a:ln>
            </c:spPr>
          </c:dPt>
          <c:dPt>
            <c:idx val="7"/>
            <c:bubble3D val="0"/>
            <c:spPr>
              <a:solidFill>
                <a:schemeClr val="accent6">
                  <a:lumMod val="75000"/>
                </a:schemeClr>
              </a:solidFill>
              <a:ln w="12700">
                <a:solidFill>
                  <a:srgbClr val="000000"/>
                </a:solidFill>
                <a:prstDash val="solid"/>
              </a:ln>
            </c:spPr>
          </c:dPt>
          <c:dPt>
            <c:idx val="8"/>
            <c:bubble3D val="0"/>
          </c:dPt>
          <c:dPt>
            <c:idx val="9"/>
            <c:bubble3D val="0"/>
            <c:spPr>
              <a:solidFill>
                <a:schemeClr val="accent1">
                  <a:lumMod val="60000"/>
                  <a:lumOff val="40000"/>
                </a:schemeClr>
              </a:solidFill>
              <a:ln w="12700">
                <a:solidFill>
                  <a:srgbClr val="000000"/>
                </a:solidFill>
                <a:prstDash val="solid"/>
              </a:ln>
            </c:spPr>
          </c:dPt>
          <c:dPt>
            <c:idx val="10"/>
            <c:bubble3D val="0"/>
          </c:dPt>
          <c:dPt>
            <c:idx val="11"/>
            <c:bubble3D val="0"/>
            <c:spPr>
              <a:solidFill>
                <a:srgbClr val="00B0F0"/>
              </a:solidFill>
              <a:ln w="12700">
                <a:solidFill>
                  <a:srgbClr val="000000"/>
                </a:solidFill>
                <a:prstDash val="solid"/>
              </a:ln>
            </c:spPr>
          </c:dPt>
          <c:dPt>
            <c:idx val="12"/>
            <c:bubble3D val="0"/>
          </c:dPt>
          <c:dLbls>
            <c:dLbl>
              <c:idx val="0"/>
              <c:layout>
                <c:manualLayout>
                  <c:x val="4.314187383456719E-2"/>
                  <c:y val="-3.3338478619301615E-2"/>
                </c:manualLayout>
              </c:layout>
              <c:dLblPos val="bestFit"/>
              <c:showLegendKey val="0"/>
              <c:showVal val="0"/>
              <c:showCatName val="1"/>
              <c:showSerName val="0"/>
              <c:showPercent val="1"/>
              <c:showBubbleSize val="0"/>
            </c:dLbl>
            <c:dLbl>
              <c:idx val="1"/>
              <c:layout>
                <c:manualLayout>
                  <c:x val="8.858813030113212E-2"/>
                  <c:y val="-5.6439038380493585E-2"/>
                </c:manualLayout>
              </c:layout>
              <c:dLblPos val="bestFit"/>
              <c:showLegendKey val="0"/>
              <c:showVal val="0"/>
              <c:showCatName val="1"/>
              <c:showSerName val="0"/>
              <c:showPercent val="1"/>
              <c:showBubbleSize val="0"/>
            </c:dLbl>
            <c:dLbl>
              <c:idx val="2"/>
              <c:layout>
                <c:manualLayout>
                  <c:x val="0.23721065220703649"/>
                  <c:y val="5.316979882036231E-2"/>
                </c:manualLayout>
              </c:layout>
              <c:dLblPos val="bestFit"/>
              <c:showLegendKey val="0"/>
              <c:showVal val="0"/>
              <c:showCatName val="1"/>
              <c:showSerName val="0"/>
              <c:showPercent val="0"/>
              <c:showBubbleSize val="0"/>
            </c:dLbl>
            <c:dLbl>
              <c:idx val="3"/>
              <c:layout>
                <c:manualLayout>
                  <c:x val="0.11640675449182897"/>
                  <c:y val="0.12431892799375803"/>
                </c:manualLayout>
              </c:layout>
              <c:dLblPos val="bestFit"/>
              <c:showLegendKey val="0"/>
              <c:showVal val="0"/>
              <c:showCatName val="1"/>
              <c:showSerName val="0"/>
              <c:showPercent val="0"/>
              <c:showBubbleSize val="0"/>
            </c:dLbl>
            <c:dLbl>
              <c:idx val="4"/>
              <c:layout>
                <c:manualLayout>
                  <c:x val="-7.4257932198716722E-2"/>
                  <c:y val="0.11214369938337974"/>
                </c:manualLayout>
              </c:layout>
              <c:dLblPos val="bestFit"/>
              <c:showLegendKey val="0"/>
              <c:showVal val="0"/>
              <c:showCatName val="1"/>
              <c:showSerName val="0"/>
              <c:showPercent val="0"/>
              <c:showBubbleSize val="0"/>
            </c:dLbl>
            <c:dLbl>
              <c:idx val="5"/>
              <c:layout>
                <c:manualLayout>
                  <c:x val="-0.26303071784614718"/>
                  <c:y val="-5.7344368667149677E-4"/>
                </c:manualLayout>
              </c:layout>
              <c:dLblPos val="bestFit"/>
              <c:showLegendKey val="0"/>
              <c:showVal val="0"/>
              <c:showCatName val="1"/>
              <c:showSerName val="0"/>
              <c:showPercent val="0"/>
              <c:showBubbleSize val="0"/>
            </c:dLbl>
            <c:dLbl>
              <c:idx val="6"/>
              <c:layout>
                <c:manualLayout>
                  <c:x val="-0.22129197612729506"/>
                  <c:y val="-8.0603506864210958E-2"/>
                </c:manualLayout>
              </c:layout>
              <c:dLblPos val="bestFit"/>
              <c:showLegendKey val="0"/>
              <c:showVal val="0"/>
              <c:showCatName val="1"/>
              <c:showSerName val="0"/>
              <c:showPercent val="0"/>
              <c:showBubbleSize val="0"/>
            </c:dLbl>
            <c:dLbl>
              <c:idx val="7"/>
              <c:layout>
                <c:manualLayout>
                  <c:x val="-0.18481499278567096"/>
                  <c:y val="-0.12029635983462528"/>
                </c:manualLayout>
              </c:layout>
              <c:dLblPos val="bestFit"/>
              <c:showLegendKey val="0"/>
              <c:showVal val="0"/>
              <c:showCatName val="1"/>
              <c:showSerName val="0"/>
              <c:showPercent val="0"/>
              <c:showBubbleSize val="0"/>
            </c:dLbl>
            <c:dLbl>
              <c:idx val="8"/>
              <c:layout>
                <c:manualLayout>
                  <c:x val="-0.13703385710796109"/>
                  <c:y val="-0.26354128637993751"/>
                </c:manualLayout>
              </c:layout>
              <c:numFmt formatCode="0.0%" sourceLinked="0"/>
              <c:spPr>
                <a:noFill/>
                <a:ln w="25400">
                  <a:noFill/>
                </a:ln>
              </c:spPr>
              <c:txPr>
                <a:bodyPr/>
                <a:lstStyle/>
                <a:p>
                  <a:pPr>
                    <a:defRPr sz="1400" b="0" i="0" u="none" strike="noStrike" baseline="0">
                      <a:solidFill>
                        <a:srgbClr val="000000"/>
                      </a:solidFill>
                      <a:latin typeface="Arial"/>
                      <a:ea typeface="Arial"/>
                      <a:cs typeface="Arial"/>
                    </a:defRPr>
                  </a:pPr>
                  <a:endParaRPr lang="de-DE"/>
                </a:p>
              </c:txPr>
              <c:dLblPos val="bestFit"/>
              <c:showLegendKey val="0"/>
              <c:showVal val="0"/>
              <c:showCatName val="1"/>
              <c:showSerName val="0"/>
              <c:showPercent val="0"/>
              <c:showBubbleSize val="0"/>
            </c:dLbl>
            <c:dLbl>
              <c:idx val="9"/>
              <c:layout>
                <c:manualLayout>
                  <c:x val="-0.10061176908770343"/>
                  <c:y val="-0.35386046735895288"/>
                </c:manualLayout>
              </c:layout>
              <c:dLblPos val="bestFit"/>
              <c:showLegendKey val="0"/>
              <c:showVal val="0"/>
              <c:showCatName val="1"/>
              <c:showSerName val="0"/>
              <c:showPercent val="0"/>
              <c:showBubbleSize val="0"/>
            </c:dLbl>
            <c:dLbl>
              <c:idx val="10"/>
              <c:layout>
                <c:manualLayout>
                  <c:x val="-2.345304288309031E-2"/>
                  <c:y val="-0.22632709240411764"/>
                </c:manualLayout>
              </c:layout>
              <c:showLegendKey val="0"/>
              <c:showVal val="0"/>
              <c:showCatName val="1"/>
              <c:showSerName val="0"/>
              <c:showPercent val="1"/>
              <c:showBubbleSize val="0"/>
            </c:dLbl>
            <c:dLbl>
              <c:idx val="11"/>
              <c:layout>
                <c:manualLayout>
                  <c:x val="1.762025573616657E-2"/>
                  <c:y val="-4.6493242350483521E-2"/>
                </c:manualLayout>
              </c:layout>
              <c:dLblPos val="bestFit"/>
              <c:showLegendKey val="0"/>
              <c:showVal val="0"/>
              <c:showCatName val="1"/>
              <c:showSerName val="0"/>
              <c:showPercent val="1"/>
              <c:showBubbleSize val="0"/>
            </c:dLbl>
            <c:dLbl>
              <c:idx val="12"/>
              <c:layout>
                <c:manualLayout>
                  <c:x val="-0.10365123015148631"/>
                  <c:y val="-7.8220050108180228E-2"/>
                </c:manualLayout>
              </c:layout>
              <c:dLblPos val="bestFit"/>
              <c:showLegendKey val="0"/>
              <c:showVal val="0"/>
              <c:showCatName val="1"/>
              <c:showSerName val="0"/>
              <c:showPercent val="0"/>
              <c:showBubbleSize val="0"/>
            </c:dLbl>
            <c:dLbl>
              <c:idx val="13"/>
              <c:layout>
                <c:manualLayout>
                  <c:x val="-2.1081282317525186E-2"/>
                  <c:y val="-7.1388528856802719E-2"/>
                </c:manualLayout>
              </c:layout>
              <c:dLblPos val="bestFit"/>
              <c:showLegendKey val="0"/>
              <c:showVal val="0"/>
              <c:showCatName val="1"/>
              <c:showSerName val="0"/>
              <c:showPercent val="0"/>
              <c:showBubbleSize val="0"/>
            </c:dLbl>
            <c:dLbl>
              <c:idx val="14"/>
              <c:layout>
                <c:manualLayout>
                  <c:x val="-9.384652729115428E-3"/>
                  <c:y val="-3.5170773408630257E-2"/>
                </c:manualLayout>
              </c:layout>
              <c:showLegendKey val="0"/>
              <c:showVal val="0"/>
              <c:showCatName val="1"/>
              <c:showSerName val="0"/>
              <c:showPercent val="0"/>
              <c:showBubbleSize val="0"/>
            </c:dLbl>
            <c:numFmt formatCode="0%" sourceLinked="0"/>
            <c:spPr>
              <a:noFill/>
              <a:ln w="25400">
                <a:noFill/>
              </a:ln>
            </c:spPr>
            <c:txPr>
              <a:bodyPr/>
              <a:lstStyle/>
              <a:p>
                <a:pPr>
                  <a:defRPr sz="1400" b="0" i="0" u="none" strike="noStrike" baseline="0">
                    <a:solidFill>
                      <a:srgbClr val="000000"/>
                    </a:solidFill>
                    <a:latin typeface="Arial"/>
                    <a:ea typeface="Arial"/>
                    <a:cs typeface="Arial"/>
                  </a:defRPr>
                </a:pPr>
                <a:endParaRPr lang="de-DE"/>
              </a:p>
            </c:txPr>
            <c:showLegendKey val="0"/>
            <c:showVal val="0"/>
            <c:showCatName val="1"/>
            <c:showSerName val="0"/>
            <c:showPercent val="0"/>
            <c:showBubbleSize val="0"/>
            <c:showLeaderLines val="1"/>
          </c:dLbls>
          <c:cat>
            <c:strRef>
              <c:f>Grafiken3.000!$N$16:$N$27</c:f>
              <c:strCache>
                <c:ptCount val="12"/>
                <c:pt idx="0">
                  <c:v>Zukaufstier</c:v>
                </c:pt>
                <c:pt idx="1">
                  <c:v>Futter</c:v>
                </c:pt>
                <c:pt idx="2">
                  <c:v>Tierarzt und Versicherung</c:v>
                </c:pt>
                <c:pt idx="3">
                  <c:v>    Energie, Wasser</c:v>
                </c:pt>
                <c:pt idx="4">
                  <c:v>    Einstreu, Pflege Auslauf</c:v>
                </c:pt>
                <c:pt idx="5">
                  <c:v>    variable Maschinenkosten&amp; Düngerausbringung</c:v>
                </c:pt>
                <c:pt idx="6">
                  <c:v>    Beratung, Kontrolle</c:v>
                </c:pt>
                <c:pt idx="7">
                  <c:v>    Sortierung, Verpackung </c:v>
                </c:pt>
                <c:pt idx="8">
                  <c:v>Zinsansatz Vieh- und Umlaufverm.</c:v>
                </c:pt>
                <c:pt idx="9">
                  <c:v>Gemeinkosten (ohne Mwst.)</c:v>
                </c:pt>
                <c:pt idx="10">
                  <c:v>Arbeit</c:v>
                </c:pt>
                <c:pt idx="11">
                  <c:v>Stall</c:v>
                </c:pt>
              </c:strCache>
            </c:strRef>
          </c:cat>
          <c:val>
            <c:numRef>
              <c:f>Grafiken3.000!$R$16:$R$27</c:f>
              <c:numCache>
                <c:formatCode>0.00</c:formatCode>
                <c:ptCount val="12"/>
                <c:pt idx="0">
                  <c:v>4.261107823715558</c:v>
                </c:pt>
                <c:pt idx="1">
                  <c:v>10.386248922663306</c:v>
                </c:pt>
                <c:pt idx="2">
                  <c:v>0.1892575059816306</c:v>
                </c:pt>
                <c:pt idx="3">
                  <c:v>0.48238956494893104</c:v>
                </c:pt>
                <c:pt idx="4">
                  <c:v>9.4869947773289789E-2</c:v>
                </c:pt>
                <c:pt idx="5">
                  <c:v>6.029869561861638E-2</c:v>
                </c:pt>
                <c:pt idx="6">
                  <c:v>4.0199130412410924E-2</c:v>
                </c:pt>
                <c:pt idx="7">
                  <c:v>1.5000000000000002</c:v>
                </c:pt>
                <c:pt idx="8">
                  <c:v>3.4973243458797501E-2</c:v>
                </c:pt>
                <c:pt idx="9">
                  <c:v>0.20099565206205461</c:v>
                </c:pt>
                <c:pt idx="10">
                  <c:v>5.1610040563602526</c:v>
                </c:pt>
                <c:pt idx="11">
                  <c:v>1.9235283902338627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noFill/>
      <a:prstDash val="solid"/>
    </a:ln>
  </c:spPr>
  <c:txPr>
    <a:bodyPr/>
    <a:lstStyle/>
    <a:p>
      <a:pPr>
        <a:defRPr sz="16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e-DE" sz="1600" b="1" i="0" u="none" strike="noStrike" kern="1200" baseline="0">
                <a:solidFill>
                  <a:srgbClr val="000000"/>
                </a:solidFill>
                <a:latin typeface="Arial"/>
                <a:ea typeface="Arial"/>
                <a:cs typeface="Arial"/>
              </a:defRPr>
            </a:pPr>
            <a:r>
              <a:rPr lang="de-DE" sz="1600" b="1" i="0" u="none" strike="noStrike" kern="1200" baseline="0">
                <a:solidFill>
                  <a:srgbClr val="000000"/>
                </a:solidFill>
                <a:latin typeface="Arial"/>
                <a:ea typeface="Arial"/>
                <a:cs typeface="Arial"/>
              </a:rPr>
              <a:t>Deckungsbeitrag und Stundenlohn</a:t>
            </a:r>
          </a:p>
        </c:rich>
      </c:tx>
      <c:layout>
        <c:manualLayout>
          <c:xMode val="edge"/>
          <c:yMode val="edge"/>
          <c:x val="0.15040089627235229"/>
          <c:y val="7.6771627968531203E-3"/>
        </c:manualLayout>
      </c:layout>
      <c:overlay val="0"/>
      <c:spPr>
        <a:noFill/>
        <a:ln w="25400">
          <a:noFill/>
        </a:ln>
      </c:spPr>
    </c:title>
    <c:autoTitleDeleted val="0"/>
    <c:plotArea>
      <c:layout>
        <c:manualLayout>
          <c:layoutTarget val="inner"/>
          <c:xMode val="edge"/>
          <c:yMode val="edge"/>
          <c:x val="0.18914263085923788"/>
          <c:y val="0.24995436289612069"/>
          <c:w val="0.71828358208955223"/>
          <c:h val="0.60902311536572939"/>
        </c:manualLayout>
      </c:layout>
      <c:barChart>
        <c:barDir val="col"/>
        <c:grouping val="clustered"/>
        <c:varyColors val="0"/>
        <c:ser>
          <c:idx val="6"/>
          <c:order val="0"/>
          <c:tx>
            <c:v>DB je 100 Legehennen und Durchgang</c:v>
          </c:tx>
          <c:spPr>
            <a:solidFill>
              <a:srgbClr val="00B0F0"/>
            </a:solidFill>
          </c:spPr>
          <c:invertIfNegative val="0"/>
          <c:cat>
            <c:numRef>
              <c:f>'6.000'!$G$42:$I$42</c:f>
              <c:numCache>
                <c:formatCode>0%</c:formatCode>
                <c:ptCount val="3"/>
                <c:pt idx="0">
                  <c:v>0.75</c:v>
                </c:pt>
                <c:pt idx="1">
                  <c:v>0.8</c:v>
                </c:pt>
                <c:pt idx="2">
                  <c:v>0.85</c:v>
                </c:pt>
              </c:numCache>
            </c:numRef>
          </c:cat>
          <c:val>
            <c:numRef>
              <c:f>'3.000'!$G$61:$I$61</c:f>
              <c:numCache>
                <c:formatCode>#,##0_ ;[Red]\-#,##0\ </c:formatCode>
                <c:ptCount val="3"/>
                <c:pt idx="0">
                  <c:v>1707.9183793066677</c:v>
                </c:pt>
                <c:pt idx="1">
                  <c:v>2058.2369025066682</c:v>
                </c:pt>
                <c:pt idx="2">
                  <c:v>2408.5554257066669</c:v>
                </c:pt>
              </c:numCache>
            </c:numRef>
          </c:val>
        </c:ser>
        <c:dLbls>
          <c:showLegendKey val="0"/>
          <c:showVal val="0"/>
          <c:showCatName val="0"/>
          <c:showSerName val="0"/>
          <c:showPercent val="0"/>
          <c:showBubbleSize val="0"/>
        </c:dLbls>
        <c:gapWidth val="150"/>
        <c:axId val="37974016"/>
        <c:axId val="37976320"/>
      </c:barChart>
      <c:lineChart>
        <c:grouping val="stacked"/>
        <c:varyColors val="0"/>
        <c:ser>
          <c:idx val="7"/>
          <c:order val="1"/>
          <c:tx>
            <c:v>Verwertung je Akh bei Neubau</c:v>
          </c:tx>
          <c:spPr>
            <a:ln w="12700">
              <a:noFill/>
              <a:prstDash val="solid"/>
            </a:ln>
          </c:spPr>
          <c:marker>
            <c:symbol val="diamond"/>
            <c:size val="10"/>
            <c:spPr>
              <a:solidFill>
                <a:srgbClr val="002060"/>
              </a:solidFill>
              <a:ln w="22225"/>
            </c:spPr>
          </c:marker>
          <c:cat>
            <c:numRef>
              <c:f>'6.000'!$G$42:$J$42</c:f>
              <c:numCache>
                <c:formatCode>0%</c:formatCode>
                <c:ptCount val="4"/>
                <c:pt idx="0">
                  <c:v>0.75</c:v>
                </c:pt>
                <c:pt idx="1">
                  <c:v>0.8</c:v>
                </c:pt>
                <c:pt idx="2">
                  <c:v>0.85</c:v>
                </c:pt>
              </c:numCache>
            </c:numRef>
          </c:cat>
          <c:val>
            <c:numRef>
              <c:f>'3.000'!$G$70:$I$70</c:f>
              <c:numCache>
                <c:formatCode>#,##0.00_ ;[Red]\-#,##0.00\ </c:formatCode>
                <c:ptCount val="3"/>
                <c:pt idx="0">
                  <c:v>15.087415948174126</c:v>
                </c:pt>
                <c:pt idx="1">
                  <c:v>19.039091988590144</c:v>
                </c:pt>
                <c:pt idx="2">
                  <c:v>22.779621306294793</c:v>
                </c:pt>
              </c:numCache>
            </c:numRef>
          </c:val>
          <c:smooth val="0"/>
        </c:ser>
        <c:dLbls>
          <c:showLegendKey val="0"/>
          <c:showVal val="0"/>
          <c:showCatName val="0"/>
          <c:showSerName val="0"/>
          <c:showPercent val="0"/>
          <c:showBubbleSize val="0"/>
        </c:dLbls>
        <c:marker val="1"/>
        <c:smooth val="0"/>
        <c:axId val="37980032"/>
        <c:axId val="37978496"/>
      </c:lineChart>
      <c:catAx>
        <c:axId val="3797401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de-DE"/>
                  <a:t>Legeleistung</a:t>
                </a:r>
                <a:r>
                  <a:rPr lang="de-DE" baseline="0"/>
                  <a:t> je Durchschnittshenne</a:t>
                </a:r>
                <a:endParaRPr lang="de-DE"/>
              </a:p>
            </c:rich>
          </c:tx>
          <c:layout>
            <c:manualLayout>
              <c:xMode val="edge"/>
              <c:yMode val="edge"/>
              <c:x val="0.15990328846166793"/>
              <c:y val="0.9355743702694220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de-DE"/>
          </a:p>
        </c:txPr>
        <c:crossAx val="37976320"/>
        <c:crosses val="autoZero"/>
        <c:auto val="0"/>
        <c:lblAlgn val="ctr"/>
        <c:lblOffset val="100"/>
        <c:tickLblSkip val="1"/>
        <c:tickMarkSkip val="1"/>
        <c:noMultiLvlLbl val="0"/>
      </c:catAx>
      <c:valAx>
        <c:axId val="37976320"/>
        <c:scaling>
          <c:orientation val="minMax"/>
        </c:scaling>
        <c:delete val="0"/>
        <c:axPos val="l"/>
        <c:title>
          <c:tx>
            <c:rich>
              <a:bodyPr rot="0" vert="horz"/>
              <a:lstStyle/>
              <a:p>
                <a:pPr algn="l">
                  <a:defRPr sz="1400" b="1" i="0" u="none" strike="noStrike" baseline="0">
                    <a:solidFill>
                      <a:srgbClr val="000000"/>
                    </a:solidFill>
                    <a:latin typeface="Arial"/>
                    <a:ea typeface="Arial"/>
                    <a:cs typeface="Arial"/>
                  </a:defRPr>
                </a:pPr>
                <a:r>
                  <a:rPr lang="en-US" sz="1400" b="0"/>
                  <a:t>DB je 100 Hennen</a:t>
                </a:r>
              </a:p>
            </c:rich>
          </c:tx>
          <c:layout>
            <c:manualLayout>
              <c:xMode val="edge"/>
              <c:yMode val="edge"/>
              <c:x val="4.0014714251691971E-3"/>
              <c:y val="8.9519849222495687E-2"/>
            </c:manualLayout>
          </c:layout>
          <c:overlay val="0"/>
          <c:spPr>
            <a:noFill/>
            <a:ln w="25400">
              <a:noFill/>
            </a:ln>
          </c:spPr>
        </c:title>
        <c:numFmt formatCode="#,##0\ \€;[Red]\-#,##0\ \€"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37974016"/>
        <c:crosses val="autoZero"/>
        <c:crossBetween val="between"/>
      </c:valAx>
      <c:valAx>
        <c:axId val="37978496"/>
        <c:scaling>
          <c:orientation val="minMax"/>
        </c:scaling>
        <c:delete val="0"/>
        <c:axPos val="r"/>
        <c:numFmt formatCode="#,##0.00_ ;[Red]\-#,##0.00\ " sourceLinked="1"/>
        <c:majorTickMark val="out"/>
        <c:minorTickMark val="none"/>
        <c:tickLblPos val="nextTo"/>
        <c:txPr>
          <a:bodyPr/>
          <a:lstStyle/>
          <a:p>
            <a:pPr>
              <a:defRPr sz="1400"/>
            </a:pPr>
            <a:endParaRPr lang="de-DE"/>
          </a:p>
        </c:txPr>
        <c:crossAx val="37980032"/>
        <c:crosses val="max"/>
        <c:crossBetween val="between"/>
      </c:valAx>
      <c:catAx>
        <c:axId val="37980032"/>
        <c:scaling>
          <c:orientation val="minMax"/>
        </c:scaling>
        <c:delete val="1"/>
        <c:axPos val="b"/>
        <c:numFmt formatCode="0%" sourceLinked="1"/>
        <c:majorTickMark val="out"/>
        <c:minorTickMark val="none"/>
        <c:tickLblPos val="nextTo"/>
        <c:crossAx val="37978496"/>
        <c:crosses val="autoZero"/>
        <c:auto val="0"/>
        <c:lblAlgn val="ctr"/>
        <c:lblOffset val="100"/>
        <c:noMultiLvlLbl val="0"/>
      </c:catAx>
      <c:spPr>
        <a:solidFill>
          <a:srgbClr val="FFFFC0"/>
        </a:solidFill>
        <a:ln w="12700">
          <a:noFill/>
          <a:prstDash val="solid"/>
        </a:ln>
      </c:spPr>
    </c:plotArea>
    <c:legend>
      <c:legendPos val="r"/>
      <c:layout>
        <c:manualLayout>
          <c:xMode val="edge"/>
          <c:yMode val="edge"/>
          <c:x val="0.21240804990322809"/>
          <c:y val="8.1408886210239839E-2"/>
          <c:w val="0.54724592212764234"/>
          <c:h val="0.16331763358239043"/>
        </c:manualLayout>
      </c:layout>
      <c:overlay val="0"/>
      <c:spPr>
        <a:noFill/>
        <a:ln w="3175">
          <a:noFill/>
          <a:prstDash val="solid"/>
        </a:ln>
      </c:spPr>
      <c:txPr>
        <a:bodyPr/>
        <a:lstStyle/>
        <a:p>
          <a:pPr>
            <a:defRPr sz="105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99"/>
    </a:solidFill>
    <a:ln w="3175">
      <a:no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1200" verticalDpi="12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50" b="1" i="0" u="none" strike="noStrike" baseline="0">
                <a:solidFill>
                  <a:srgbClr val="000000"/>
                </a:solidFill>
                <a:latin typeface="Arial"/>
                <a:ea typeface="Arial"/>
                <a:cs typeface="Arial"/>
              </a:defRPr>
            </a:pPr>
            <a:r>
              <a:rPr lang="de-DE" sz="1600"/>
              <a:t>Erforderlicher Eierpreis zur</a:t>
            </a:r>
          </a:p>
          <a:p>
            <a:pPr>
              <a:defRPr sz="1350" b="1" i="0" u="none" strike="noStrike" baseline="0">
                <a:solidFill>
                  <a:srgbClr val="000000"/>
                </a:solidFill>
                <a:latin typeface="Arial"/>
                <a:ea typeface="Arial"/>
                <a:cs typeface="Arial"/>
              </a:defRPr>
            </a:pPr>
            <a:r>
              <a:rPr lang="de-DE" sz="1600"/>
              <a:t> Deckung der Vollkosten           </a:t>
            </a:r>
            <a:r>
              <a:rPr lang="de-DE" sz="1400" b="0"/>
              <a:t>ohne Mwst.</a:t>
            </a:r>
          </a:p>
        </c:rich>
      </c:tx>
      <c:layout>
        <c:manualLayout>
          <c:xMode val="edge"/>
          <c:yMode val="edge"/>
          <c:x val="0.2211564553452377"/>
          <c:y val="5.1184355237075124E-4"/>
        </c:manualLayout>
      </c:layout>
      <c:overlay val="0"/>
      <c:spPr>
        <a:noFill/>
        <a:ln w="25400">
          <a:noFill/>
        </a:ln>
      </c:spPr>
    </c:title>
    <c:autoTitleDeleted val="0"/>
    <c:plotArea>
      <c:layout>
        <c:manualLayout>
          <c:layoutTarget val="inner"/>
          <c:xMode val="edge"/>
          <c:yMode val="edge"/>
          <c:x val="0.20905715802887517"/>
          <c:y val="0.2432655618641254"/>
          <c:w val="0.7591986587106081"/>
          <c:h val="0.60447929294990665"/>
        </c:manualLayout>
      </c:layout>
      <c:barChart>
        <c:barDir val="col"/>
        <c:grouping val="clustered"/>
        <c:varyColors val="0"/>
        <c:ser>
          <c:idx val="0"/>
          <c:order val="0"/>
          <c:tx>
            <c:strRef>
              <c:f>'3.000'!$B$77</c:f>
              <c:strCache>
                <c:ptCount val="1"/>
                <c:pt idx="0">
                  <c:v>Erforderlicher durchschn.   Eierpreis (o. Mwst)</c:v>
                </c:pt>
              </c:strCache>
            </c:strRef>
          </c:tx>
          <c:spPr>
            <a:solidFill>
              <a:srgbClr val="00B0F0"/>
            </a:solidFill>
            <a:ln w="12700">
              <a:noFill/>
              <a:prstDash val="solid"/>
            </a:ln>
          </c:spPr>
          <c:invertIfNegative val="0"/>
          <c:dLbls>
            <c:numFmt formatCode="##.##&quot; Cent&quot;" sourceLinked="0"/>
            <c:spPr>
              <a:solidFill>
                <a:srgbClr val="FFFFC0"/>
              </a:solidFill>
              <a:ln w="3175">
                <a:noFill/>
                <a:prstDash val="solid"/>
              </a:ln>
            </c:spPr>
            <c:txPr>
              <a:bodyPr/>
              <a:lstStyle/>
              <a:p>
                <a:pPr>
                  <a:defRPr sz="14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'6.000'!$G$42:$J$42</c:f>
              <c:numCache>
                <c:formatCode>0%</c:formatCode>
                <c:ptCount val="4"/>
                <c:pt idx="0">
                  <c:v>0.75</c:v>
                </c:pt>
                <c:pt idx="1">
                  <c:v>0.8</c:v>
                </c:pt>
                <c:pt idx="2">
                  <c:v>0.85</c:v>
                </c:pt>
              </c:numCache>
            </c:numRef>
          </c:cat>
          <c:val>
            <c:numRef>
              <c:f>'3.000'!$G$77:$I$77</c:f>
              <c:numCache>
                <c:formatCode>#,##0.00</c:formatCode>
                <c:ptCount val="3"/>
                <c:pt idx="0">
                  <c:v>25.018094948094976</c:v>
                </c:pt>
                <c:pt idx="1">
                  <c:v>23.678856374950151</c:v>
                </c:pt>
                <c:pt idx="2">
                  <c:v>22.497175280998839</c:v>
                </c:pt>
              </c:numCache>
            </c:numRef>
          </c:val>
        </c:ser>
        <c:dLbls>
          <c:showLegendKey val="0"/>
          <c:showVal val="0"/>
          <c:showCatName val="0"/>
          <c:showSerName val="0"/>
          <c:showPercent val="0"/>
          <c:showBubbleSize val="0"/>
        </c:dLbls>
        <c:gapWidth val="150"/>
        <c:axId val="38085760"/>
        <c:axId val="38087680"/>
      </c:barChart>
      <c:catAx>
        <c:axId val="38085760"/>
        <c:scaling>
          <c:orientation val="minMax"/>
        </c:scaling>
        <c:delete val="0"/>
        <c:axPos val="b"/>
        <c:title>
          <c:tx>
            <c:rich>
              <a:bodyPr/>
              <a:lstStyle/>
              <a:p>
                <a:pPr algn="ctr" rtl="0">
                  <a:defRPr lang="de-DE" sz="1400" b="1" i="0" u="none" strike="noStrike" kern="1200" baseline="0">
                    <a:solidFill>
                      <a:srgbClr val="000000"/>
                    </a:solidFill>
                    <a:latin typeface="Arial"/>
                    <a:ea typeface="Arial"/>
                    <a:cs typeface="Arial"/>
                  </a:defRPr>
                </a:pPr>
                <a:r>
                  <a:rPr lang="de-DE" sz="1400" b="1" i="0" u="none" strike="noStrike" kern="1200" baseline="0">
                    <a:solidFill>
                      <a:srgbClr val="000000"/>
                    </a:solidFill>
                    <a:latin typeface="Arial"/>
                    <a:ea typeface="Arial"/>
                    <a:cs typeface="Arial"/>
                  </a:rPr>
                  <a:t>Legeleistung je Durchschnittshenne</a:t>
                </a:r>
              </a:p>
            </c:rich>
          </c:tx>
          <c:layout>
            <c:manualLayout>
              <c:xMode val="edge"/>
              <c:yMode val="edge"/>
              <c:x val="0.16608575670588061"/>
              <c:y val="0.9244162694772626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de-DE"/>
          </a:p>
        </c:txPr>
        <c:crossAx val="38087680"/>
        <c:crosses val="autoZero"/>
        <c:auto val="1"/>
        <c:lblAlgn val="ctr"/>
        <c:lblOffset val="100"/>
        <c:noMultiLvlLbl val="0"/>
      </c:catAx>
      <c:valAx>
        <c:axId val="38087680"/>
        <c:scaling>
          <c:orientation val="minMax"/>
        </c:scaling>
        <c:delete val="0"/>
        <c:axPos val="l"/>
        <c:majorGridlines>
          <c:spPr>
            <a:ln w="3175">
              <a:solidFill>
                <a:srgbClr val="000000"/>
              </a:solidFill>
              <a:prstDash val="solid"/>
            </a:ln>
          </c:spPr>
        </c:majorGridlines>
        <c:numFmt formatCode="General"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38085760"/>
        <c:crosses val="autoZero"/>
        <c:crossBetween val="between"/>
      </c:valAx>
      <c:spPr>
        <a:solidFill>
          <a:srgbClr val="FFFFC0"/>
        </a:solidFill>
        <a:ln w="12700">
          <a:noFill/>
          <a:prstDash val="solid"/>
        </a:ln>
      </c:spPr>
    </c:plotArea>
    <c:plotVisOnly val="1"/>
    <c:dispBlanksAs val="gap"/>
    <c:showDLblsOverMax val="0"/>
  </c:chart>
  <c:spPr>
    <a:solidFill>
      <a:srgbClr val="FFFF99"/>
    </a:solidFill>
    <a:ln w="3175">
      <a:noFill/>
      <a:prstDash val="solid"/>
    </a:ln>
  </c:spPr>
  <c:txPr>
    <a:bodyPr/>
    <a:lstStyle/>
    <a:p>
      <a:pPr>
        <a:defRPr sz="875"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2250" b="1" i="0" u="none" strike="noStrike" baseline="0">
                <a:solidFill>
                  <a:srgbClr val="000000"/>
                </a:solidFill>
                <a:latin typeface="Arial"/>
                <a:ea typeface="Arial"/>
                <a:cs typeface="Arial"/>
              </a:defRPr>
            </a:pPr>
            <a:r>
              <a:rPr lang="de-DE" sz="1600"/>
              <a:t>Kostenstruktur Eiererzeugung                        </a:t>
            </a:r>
          </a:p>
        </c:rich>
      </c:tx>
      <c:layout>
        <c:manualLayout>
          <c:xMode val="edge"/>
          <c:yMode val="edge"/>
          <c:x val="0.24051788145779773"/>
          <c:y val="1.9108368002692663E-2"/>
        </c:manualLayout>
      </c:layout>
      <c:overlay val="0"/>
      <c:spPr>
        <a:noFill/>
        <a:ln w="25400">
          <a:noFill/>
        </a:ln>
      </c:spPr>
    </c:title>
    <c:autoTitleDeleted val="0"/>
    <c:plotArea>
      <c:layout>
        <c:manualLayout>
          <c:layoutTarget val="inner"/>
          <c:xMode val="edge"/>
          <c:yMode val="edge"/>
          <c:x val="0.33729095862576086"/>
          <c:y val="0.25793934007226749"/>
          <c:w val="0.44401934622614486"/>
          <c:h val="0.57783312577833124"/>
        </c:manualLayout>
      </c:layout>
      <c:pieChart>
        <c:varyColors val="1"/>
        <c:ser>
          <c:idx val="0"/>
          <c:order val="0"/>
          <c:spPr>
            <a:ln w="12700">
              <a:solidFill>
                <a:srgbClr val="000000"/>
              </a:solidFill>
              <a:prstDash val="solid"/>
            </a:ln>
          </c:spPr>
          <c:dPt>
            <c:idx val="0"/>
            <c:bubble3D val="0"/>
            <c:spPr>
              <a:solidFill>
                <a:schemeClr val="accent2">
                  <a:lumMod val="60000"/>
                  <a:lumOff val="40000"/>
                </a:schemeClr>
              </a:solidFill>
              <a:ln w="12700">
                <a:solidFill>
                  <a:srgbClr val="000000"/>
                </a:solidFill>
                <a:prstDash val="solid"/>
              </a:ln>
            </c:spPr>
          </c:dPt>
          <c:dPt>
            <c:idx val="1"/>
            <c:bubble3D val="0"/>
            <c:spPr>
              <a:solidFill>
                <a:schemeClr val="accent6">
                  <a:lumMod val="60000"/>
                  <a:lumOff val="40000"/>
                </a:schemeClr>
              </a:solidFill>
              <a:ln w="12700">
                <a:solidFill>
                  <a:srgbClr val="000000"/>
                </a:solidFill>
                <a:prstDash val="solid"/>
              </a:ln>
            </c:spPr>
          </c:dPt>
          <c:dPt>
            <c:idx val="2"/>
            <c:bubble3D val="0"/>
            <c:spPr>
              <a:solidFill>
                <a:schemeClr val="accent6">
                  <a:lumMod val="75000"/>
                </a:schemeClr>
              </a:solidFill>
              <a:ln w="12700">
                <a:solidFill>
                  <a:srgbClr val="000000"/>
                </a:solidFill>
                <a:prstDash val="solid"/>
              </a:ln>
            </c:spPr>
          </c:dPt>
          <c:dPt>
            <c:idx val="3"/>
            <c:bubble3D val="0"/>
            <c:spPr>
              <a:solidFill>
                <a:schemeClr val="accent2">
                  <a:lumMod val="60000"/>
                  <a:lumOff val="40000"/>
                </a:schemeClr>
              </a:solidFill>
              <a:ln w="12700">
                <a:solidFill>
                  <a:srgbClr val="000000"/>
                </a:solidFill>
                <a:prstDash val="solid"/>
              </a:ln>
            </c:spPr>
          </c:dPt>
          <c:dPt>
            <c:idx val="4"/>
            <c:bubble3D val="0"/>
            <c:spPr>
              <a:solidFill>
                <a:schemeClr val="accent6">
                  <a:lumMod val="60000"/>
                  <a:lumOff val="40000"/>
                </a:schemeClr>
              </a:solidFill>
              <a:ln w="12700">
                <a:solidFill>
                  <a:srgbClr val="000000"/>
                </a:solidFill>
                <a:prstDash val="solid"/>
              </a:ln>
            </c:spPr>
          </c:dPt>
          <c:dPt>
            <c:idx val="5"/>
            <c:bubble3D val="0"/>
          </c:dPt>
          <c:dPt>
            <c:idx val="6"/>
            <c:bubble3D val="0"/>
            <c:spPr>
              <a:solidFill>
                <a:schemeClr val="accent6">
                  <a:lumMod val="75000"/>
                </a:schemeClr>
              </a:solidFill>
              <a:ln w="12700">
                <a:solidFill>
                  <a:srgbClr val="000000"/>
                </a:solidFill>
                <a:prstDash val="solid"/>
              </a:ln>
            </c:spPr>
          </c:dPt>
          <c:dPt>
            <c:idx val="7"/>
            <c:bubble3D val="0"/>
            <c:spPr>
              <a:solidFill>
                <a:schemeClr val="accent6">
                  <a:lumMod val="75000"/>
                </a:schemeClr>
              </a:solidFill>
              <a:ln w="12700">
                <a:solidFill>
                  <a:srgbClr val="000000"/>
                </a:solidFill>
                <a:prstDash val="solid"/>
              </a:ln>
            </c:spPr>
          </c:dPt>
          <c:dPt>
            <c:idx val="8"/>
            <c:bubble3D val="0"/>
          </c:dPt>
          <c:dPt>
            <c:idx val="9"/>
            <c:bubble3D val="0"/>
            <c:spPr>
              <a:solidFill>
                <a:schemeClr val="accent1">
                  <a:lumMod val="60000"/>
                  <a:lumOff val="40000"/>
                </a:schemeClr>
              </a:solidFill>
              <a:ln w="12700">
                <a:solidFill>
                  <a:srgbClr val="000000"/>
                </a:solidFill>
                <a:prstDash val="solid"/>
              </a:ln>
            </c:spPr>
          </c:dPt>
          <c:dPt>
            <c:idx val="10"/>
            <c:bubble3D val="0"/>
          </c:dPt>
          <c:dPt>
            <c:idx val="11"/>
            <c:bubble3D val="0"/>
            <c:spPr>
              <a:solidFill>
                <a:srgbClr val="00B0F0"/>
              </a:solidFill>
              <a:ln w="12700">
                <a:solidFill>
                  <a:srgbClr val="000000"/>
                </a:solidFill>
                <a:prstDash val="solid"/>
              </a:ln>
            </c:spPr>
          </c:dPt>
          <c:dPt>
            <c:idx val="12"/>
            <c:bubble3D val="0"/>
          </c:dPt>
          <c:dLbls>
            <c:dLbl>
              <c:idx val="0"/>
              <c:layout>
                <c:manualLayout>
                  <c:x val="8.9215015248879606E-2"/>
                  <c:y val="-3.3338478619301615E-2"/>
                </c:manualLayout>
              </c:layout>
              <c:dLblPos val="bestFit"/>
              <c:showLegendKey val="0"/>
              <c:showVal val="0"/>
              <c:showCatName val="1"/>
              <c:showSerName val="0"/>
              <c:showPercent val="1"/>
              <c:showBubbleSize val="0"/>
            </c:dLbl>
            <c:dLbl>
              <c:idx val="1"/>
              <c:layout>
                <c:manualLayout>
                  <c:x val="0.15303538562372876"/>
                  <c:y val="-5.2462661191998904E-2"/>
                </c:manualLayout>
              </c:layout>
              <c:dLblPos val="bestFit"/>
              <c:showLegendKey val="0"/>
              <c:showVal val="0"/>
              <c:showCatName val="1"/>
              <c:showSerName val="0"/>
              <c:showPercent val="1"/>
              <c:showBubbleSize val="0"/>
            </c:dLbl>
            <c:dLbl>
              <c:idx val="2"/>
              <c:layout>
                <c:manualLayout>
                  <c:x val="0.132778198334595"/>
                  <c:y val="-0.11732300894653558"/>
                </c:manualLayout>
              </c:layout>
              <c:dLblPos val="bestFit"/>
              <c:showLegendKey val="0"/>
              <c:showVal val="0"/>
              <c:showCatName val="1"/>
              <c:showSerName val="0"/>
              <c:showPercent val="0"/>
              <c:showBubbleSize val="0"/>
            </c:dLbl>
            <c:dLbl>
              <c:idx val="3"/>
              <c:layout>
                <c:manualLayout>
                  <c:x val="7.0333613077516552E-2"/>
                  <c:y val="-4.2580737677457577E-2"/>
                </c:manualLayout>
              </c:layout>
              <c:dLblPos val="bestFit"/>
              <c:showLegendKey val="0"/>
              <c:showVal val="0"/>
              <c:showCatName val="1"/>
              <c:showSerName val="0"/>
              <c:showPercent val="0"/>
              <c:showBubbleSize val="0"/>
            </c:dLbl>
            <c:dLbl>
              <c:idx val="4"/>
              <c:layout>
                <c:manualLayout>
                  <c:x val="7.6247663088037182E-2"/>
                  <c:y val="-7.7101014383213807E-4"/>
                </c:manualLayout>
              </c:layout>
              <c:dLblPos val="bestFit"/>
              <c:showLegendKey val="0"/>
              <c:showVal val="0"/>
              <c:showCatName val="1"/>
              <c:showSerName val="0"/>
              <c:showPercent val="0"/>
              <c:showBubbleSize val="0"/>
            </c:dLbl>
            <c:dLbl>
              <c:idx val="5"/>
              <c:layout>
                <c:manualLayout>
                  <c:x val="1.9551216161635705E-2"/>
                  <c:y val="6.9013157111985426E-2"/>
                </c:manualLayout>
              </c:layout>
              <c:dLblPos val="bestFit"/>
              <c:showLegendKey val="0"/>
              <c:showVal val="0"/>
              <c:showCatName val="1"/>
              <c:showSerName val="0"/>
              <c:showPercent val="0"/>
              <c:showBubbleSize val="0"/>
            </c:dLbl>
            <c:dLbl>
              <c:idx val="6"/>
              <c:layout>
                <c:manualLayout>
                  <c:x val="-0.17521881718999785"/>
                  <c:y val="9.6345271022980961E-2"/>
                </c:manualLayout>
              </c:layout>
              <c:dLblPos val="bestFit"/>
              <c:showLegendKey val="0"/>
              <c:showVal val="0"/>
              <c:showCatName val="1"/>
              <c:showSerName val="0"/>
              <c:showPercent val="0"/>
              <c:showBubbleSize val="0"/>
            </c:dLbl>
            <c:dLbl>
              <c:idx val="7"/>
              <c:layout>
                <c:manualLayout>
                  <c:x val="-0.2001726835851434"/>
                  <c:y val="7.4546113764464461E-2"/>
                </c:manualLayout>
              </c:layout>
              <c:dLblPos val="bestFit"/>
              <c:showLegendKey val="0"/>
              <c:showVal val="0"/>
              <c:showCatName val="1"/>
              <c:showSerName val="0"/>
              <c:showPercent val="0"/>
              <c:showBubbleSize val="0"/>
            </c:dLbl>
            <c:dLbl>
              <c:idx val="8"/>
              <c:layout>
                <c:manualLayout>
                  <c:x val="-0.2552882534046963"/>
                  <c:y val="7.842699528032207E-2"/>
                </c:manualLayout>
              </c:layout>
              <c:numFmt formatCode="0.0%" sourceLinked="0"/>
              <c:spPr>
                <a:noFill/>
                <a:ln w="25400">
                  <a:noFill/>
                </a:ln>
              </c:spPr>
              <c:txPr>
                <a:bodyPr/>
                <a:lstStyle/>
                <a:p>
                  <a:pPr>
                    <a:defRPr sz="1400" b="0" i="0" u="none" strike="noStrike" baseline="0">
                      <a:solidFill>
                        <a:srgbClr val="000000"/>
                      </a:solidFill>
                      <a:latin typeface="Arial"/>
                      <a:ea typeface="Arial"/>
                      <a:cs typeface="Arial"/>
                    </a:defRPr>
                  </a:pPr>
                  <a:endParaRPr lang="de-DE"/>
                </a:p>
              </c:txPr>
              <c:dLblPos val="bestFit"/>
              <c:showLegendKey val="0"/>
              <c:showVal val="0"/>
              <c:showCatName val="1"/>
              <c:showSerName val="0"/>
              <c:showPercent val="0"/>
              <c:showBubbleSize val="0"/>
            </c:dLbl>
            <c:dLbl>
              <c:idx val="9"/>
              <c:layout>
                <c:manualLayout>
                  <c:x val="-0.24190285701847522"/>
                  <c:y val="-4.1714858062120407E-2"/>
                </c:manualLayout>
              </c:layout>
              <c:dLblPos val="bestFit"/>
              <c:showLegendKey val="0"/>
              <c:showVal val="0"/>
              <c:showCatName val="1"/>
              <c:showSerName val="0"/>
              <c:showPercent val="0"/>
              <c:showBubbleSize val="0"/>
            </c:dLbl>
            <c:dLbl>
              <c:idx val="10"/>
              <c:layout>
                <c:manualLayout>
                  <c:x val="-0.14938629608221093"/>
                  <c:y val="-0.11498837457598356"/>
                </c:manualLayout>
              </c:layout>
              <c:showLegendKey val="0"/>
              <c:showVal val="0"/>
              <c:showCatName val="1"/>
              <c:showSerName val="0"/>
              <c:showPercent val="1"/>
              <c:showBubbleSize val="0"/>
            </c:dLbl>
            <c:dLbl>
              <c:idx val="11"/>
              <c:layout>
                <c:manualLayout>
                  <c:x val="1.762025573616657E-2"/>
                  <c:y val="-4.6493242350483521E-2"/>
                </c:manualLayout>
              </c:layout>
              <c:dLblPos val="bestFit"/>
              <c:showLegendKey val="0"/>
              <c:showVal val="0"/>
              <c:showCatName val="1"/>
              <c:showSerName val="0"/>
              <c:showPercent val="1"/>
              <c:showBubbleSize val="0"/>
            </c:dLbl>
            <c:dLbl>
              <c:idx val="12"/>
              <c:layout>
                <c:manualLayout>
                  <c:x val="-0.10365123015148631"/>
                  <c:y val="-7.8220050108180228E-2"/>
                </c:manualLayout>
              </c:layout>
              <c:dLblPos val="bestFit"/>
              <c:showLegendKey val="0"/>
              <c:showVal val="0"/>
              <c:showCatName val="1"/>
              <c:showSerName val="0"/>
              <c:showPercent val="0"/>
              <c:showBubbleSize val="0"/>
            </c:dLbl>
            <c:dLbl>
              <c:idx val="13"/>
              <c:layout>
                <c:manualLayout>
                  <c:x val="-2.1081282317525186E-2"/>
                  <c:y val="-7.1388528856802719E-2"/>
                </c:manualLayout>
              </c:layout>
              <c:dLblPos val="bestFit"/>
              <c:showLegendKey val="0"/>
              <c:showVal val="0"/>
              <c:showCatName val="1"/>
              <c:showSerName val="0"/>
              <c:showPercent val="0"/>
              <c:showBubbleSize val="0"/>
            </c:dLbl>
            <c:dLbl>
              <c:idx val="14"/>
              <c:layout>
                <c:manualLayout>
                  <c:x val="-9.384652729115428E-3"/>
                  <c:y val="-3.5170773408630257E-2"/>
                </c:manualLayout>
              </c:layout>
              <c:showLegendKey val="0"/>
              <c:showVal val="0"/>
              <c:showCatName val="1"/>
              <c:showSerName val="0"/>
              <c:showPercent val="0"/>
              <c:showBubbleSize val="0"/>
            </c:dLbl>
            <c:numFmt formatCode="0%" sourceLinked="0"/>
            <c:spPr>
              <a:noFill/>
              <a:ln w="25400">
                <a:noFill/>
              </a:ln>
            </c:spPr>
            <c:txPr>
              <a:bodyPr/>
              <a:lstStyle/>
              <a:p>
                <a:pPr>
                  <a:defRPr sz="1400" b="0" i="0" u="none" strike="noStrike" baseline="0">
                    <a:solidFill>
                      <a:srgbClr val="000000"/>
                    </a:solidFill>
                    <a:latin typeface="Arial"/>
                    <a:ea typeface="Arial"/>
                    <a:cs typeface="Arial"/>
                  </a:defRPr>
                </a:pPr>
                <a:endParaRPr lang="de-DE"/>
              </a:p>
            </c:txPr>
            <c:showLegendKey val="0"/>
            <c:showVal val="0"/>
            <c:showCatName val="1"/>
            <c:showSerName val="0"/>
            <c:showPercent val="0"/>
            <c:showBubbleSize val="0"/>
            <c:showLeaderLines val="1"/>
          </c:dLbls>
          <c:cat>
            <c:strRef>
              <c:f>GrafikenMobilstall!$N$16:$N$27</c:f>
              <c:strCache>
                <c:ptCount val="12"/>
                <c:pt idx="0">
                  <c:v>Zukaufstier</c:v>
                </c:pt>
                <c:pt idx="1">
                  <c:v>Futter</c:v>
                </c:pt>
                <c:pt idx="2">
                  <c:v>Tierarzt und Versicherung</c:v>
                </c:pt>
                <c:pt idx="3">
                  <c:v>    Energie, Wasser</c:v>
                </c:pt>
                <c:pt idx="4">
                  <c:v>    Einstreu, Pflege Auslauf</c:v>
                </c:pt>
                <c:pt idx="5">
                  <c:v>    variable Maschinenkosten&amp; Düngerausbringung</c:v>
                </c:pt>
                <c:pt idx="6">
                  <c:v>    Beratung, Kontrolle</c:v>
                </c:pt>
                <c:pt idx="7">
                  <c:v>    Sortierung, Verpackung </c:v>
                </c:pt>
                <c:pt idx="8">
                  <c:v>Zinsansatz Vieh- und Umlaufverm.</c:v>
                </c:pt>
                <c:pt idx="9">
                  <c:v>Gemeinkosten (inkl. 19 % Mwst.)</c:v>
                </c:pt>
                <c:pt idx="10">
                  <c:v>Arbeit</c:v>
                </c:pt>
                <c:pt idx="11">
                  <c:v>Stall</c:v>
                </c:pt>
              </c:strCache>
            </c:strRef>
          </c:cat>
          <c:val>
            <c:numRef>
              <c:f>GrafikenMobilstall!$R$16:$R$27</c:f>
              <c:numCache>
                <c:formatCode>0.00</c:formatCode>
                <c:ptCount val="12"/>
                <c:pt idx="0">
                  <c:v>4.4219043453652009</c:v>
                </c:pt>
                <c:pt idx="1">
                  <c:v>11.783463606923258</c:v>
                </c:pt>
                <c:pt idx="2">
                  <c:v>0.1892575059816306</c:v>
                </c:pt>
                <c:pt idx="3">
                  <c:v>0.48238956494893104</c:v>
                </c:pt>
                <c:pt idx="4">
                  <c:v>9.4869947773289789E-2</c:v>
                </c:pt>
                <c:pt idx="5">
                  <c:v>0.41405104324783248</c:v>
                </c:pt>
                <c:pt idx="6">
                  <c:v>4.0199130412410924E-2</c:v>
                </c:pt>
                <c:pt idx="7">
                  <c:v>5.0574999999999992</c:v>
                </c:pt>
                <c:pt idx="8">
                  <c:v>3.6179217371169831E-2</c:v>
                </c:pt>
                <c:pt idx="9">
                  <c:v>0.20099565206205461</c:v>
                </c:pt>
                <c:pt idx="10">
                  <c:v>14.228085792448136</c:v>
                </c:pt>
                <c:pt idx="11">
                  <c:v>5.5178331382335539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noFill/>
      <a:prstDash val="solid"/>
    </a:ln>
  </c:spPr>
  <c:txPr>
    <a:bodyPr/>
    <a:lstStyle/>
    <a:p>
      <a:pPr>
        <a:defRPr sz="16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e-DE" sz="1600" b="1" i="0" u="none" strike="noStrike" kern="1200" baseline="0">
                <a:solidFill>
                  <a:srgbClr val="000000"/>
                </a:solidFill>
                <a:latin typeface="Arial"/>
                <a:ea typeface="Arial"/>
                <a:cs typeface="Arial"/>
              </a:defRPr>
            </a:pPr>
            <a:r>
              <a:rPr lang="de-DE" sz="1600" b="1" i="0" u="none" strike="noStrike" kern="1200" baseline="0">
                <a:solidFill>
                  <a:srgbClr val="000000"/>
                </a:solidFill>
                <a:latin typeface="Arial"/>
                <a:ea typeface="Arial"/>
                <a:cs typeface="Arial"/>
              </a:rPr>
              <a:t>Deckungsbeitrag und Stundenlohn</a:t>
            </a:r>
          </a:p>
        </c:rich>
      </c:tx>
      <c:layout>
        <c:manualLayout>
          <c:xMode val="edge"/>
          <c:yMode val="edge"/>
          <c:x val="0.15040089627235229"/>
          <c:y val="7.6771627968531203E-3"/>
        </c:manualLayout>
      </c:layout>
      <c:overlay val="0"/>
      <c:spPr>
        <a:noFill/>
        <a:ln w="25400">
          <a:noFill/>
        </a:ln>
      </c:spPr>
    </c:title>
    <c:autoTitleDeleted val="0"/>
    <c:plotArea>
      <c:layout>
        <c:manualLayout>
          <c:layoutTarget val="inner"/>
          <c:xMode val="edge"/>
          <c:yMode val="edge"/>
          <c:x val="0.18914263085923788"/>
          <c:y val="0.24995436289612069"/>
          <c:w val="0.71828358208955223"/>
          <c:h val="0.60902311536572939"/>
        </c:manualLayout>
      </c:layout>
      <c:barChart>
        <c:barDir val="col"/>
        <c:grouping val="clustered"/>
        <c:varyColors val="0"/>
        <c:ser>
          <c:idx val="6"/>
          <c:order val="0"/>
          <c:tx>
            <c:v>DB je 100 Legehennen und Durchgang</c:v>
          </c:tx>
          <c:spPr>
            <a:solidFill>
              <a:srgbClr val="00B0F0"/>
            </a:solidFill>
          </c:spPr>
          <c:invertIfNegative val="0"/>
          <c:cat>
            <c:numRef>
              <c:f>'6.000'!$G$42:$I$42</c:f>
              <c:numCache>
                <c:formatCode>0%</c:formatCode>
                <c:ptCount val="3"/>
                <c:pt idx="0">
                  <c:v>0.75</c:v>
                </c:pt>
                <c:pt idx="1">
                  <c:v>0.8</c:v>
                </c:pt>
                <c:pt idx="2">
                  <c:v>0.85</c:v>
                </c:pt>
              </c:numCache>
            </c:numRef>
          </c:cat>
          <c:val>
            <c:numRef>
              <c:f>'300Mobilstall'!$G$61:$I$61</c:f>
              <c:numCache>
                <c:formatCode>#,##0_ ;[Red]\-#,##0\ </c:formatCode>
                <c:ptCount val="3"/>
                <c:pt idx="0">
                  <c:v>3833.6833206979154</c:v>
                </c:pt>
                <c:pt idx="1">
                  <c:v>4361.4545008787163</c:v>
                </c:pt>
                <c:pt idx="2">
                  <c:v>4889.2256810595172</c:v>
                </c:pt>
              </c:numCache>
            </c:numRef>
          </c:val>
        </c:ser>
        <c:dLbls>
          <c:showLegendKey val="0"/>
          <c:showVal val="0"/>
          <c:showCatName val="0"/>
          <c:showSerName val="0"/>
          <c:showPercent val="0"/>
          <c:showBubbleSize val="0"/>
        </c:dLbls>
        <c:gapWidth val="150"/>
        <c:axId val="44694144"/>
        <c:axId val="46208128"/>
      </c:barChart>
      <c:lineChart>
        <c:grouping val="stacked"/>
        <c:varyColors val="0"/>
        <c:ser>
          <c:idx val="7"/>
          <c:order val="1"/>
          <c:tx>
            <c:v>Verwertung je Akh bei Neubau</c:v>
          </c:tx>
          <c:spPr>
            <a:ln w="12700">
              <a:noFill/>
              <a:prstDash val="solid"/>
            </a:ln>
          </c:spPr>
          <c:marker>
            <c:symbol val="diamond"/>
            <c:size val="10"/>
            <c:spPr>
              <a:solidFill>
                <a:srgbClr val="002060"/>
              </a:solidFill>
              <a:ln w="22225"/>
            </c:spPr>
          </c:marker>
          <c:cat>
            <c:numRef>
              <c:f>'6.000'!$G$42:$J$42</c:f>
              <c:numCache>
                <c:formatCode>0%</c:formatCode>
                <c:ptCount val="4"/>
                <c:pt idx="0">
                  <c:v>0.75</c:v>
                </c:pt>
                <c:pt idx="1">
                  <c:v>0.8</c:v>
                </c:pt>
                <c:pt idx="2">
                  <c:v>0.85</c:v>
                </c:pt>
              </c:numCache>
            </c:numRef>
          </c:cat>
          <c:val>
            <c:numRef>
              <c:f>'300Mobilstall'!$G$70:$I$70</c:f>
              <c:numCache>
                <c:formatCode>#,##0.00_ ;[Red]\-#,##0.00\ </c:formatCode>
                <c:ptCount val="3"/>
                <c:pt idx="0">
                  <c:v>11.141191900851441</c:v>
                </c:pt>
                <c:pt idx="1">
                  <c:v>13.2398863238827</c:v>
                </c:pt>
                <c:pt idx="2">
                  <c:v>15.23312897024279</c:v>
                </c:pt>
              </c:numCache>
            </c:numRef>
          </c:val>
          <c:smooth val="0"/>
        </c:ser>
        <c:dLbls>
          <c:showLegendKey val="0"/>
          <c:showVal val="0"/>
          <c:showCatName val="0"/>
          <c:showSerName val="0"/>
          <c:showPercent val="0"/>
          <c:showBubbleSize val="0"/>
        </c:dLbls>
        <c:marker val="1"/>
        <c:smooth val="0"/>
        <c:axId val="46215936"/>
        <c:axId val="46210048"/>
      </c:lineChart>
      <c:catAx>
        <c:axId val="44694144"/>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de-DE"/>
                  <a:t>Legeleistung</a:t>
                </a:r>
                <a:r>
                  <a:rPr lang="de-DE" baseline="0"/>
                  <a:t> je Durchschnittshenne</a:t>
                </a:r>
                <a:endParaRPr lang="de-DE"/>
              </a:p>
            </c:rich>
          </c:tx>
          <c:layout>
            <c:manualLayout>
              <c:xMode val="edge"/>
              <c:yMode val="edge"/>
              <c:x val="0.15990328846166793"/>
              <c:y val="0.9355743702694220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de-DE"/>
          </a:p>
        </c:txPr>
        <c:crossAx val="46208128"/>
        <c:crosses val="autoZero"/>
        <c:auto val="0"/>
        <c:lblAlgn val="ctr"/>
        <c:lblOffset val="100"/>
        <c:tickLblSkip val="1"/>
        <c:tickMarkSkip val="1"/>
        <c:noMultiLvlLbl val="0"/>
      </c:catAx>
      <c:valAx>
        <c:axId val="46208128"/>
        <c:scaling>
          <c:orientation val="minMax"/>
        </c:scaling>
        <c:delete val="0"/>
        <c:axPos val="l"/>
        <c:title>
          <c:tx>
            <c:rich>
              <a:bodyPr rot="0" vert="horz"/>
              <a:lstStyle/>
              <a:p>
                <a:pPr algn="l">
                  <a:defRPr sz="1400" b="1" i="0" u="none" strike="noStrike" baseline="0">
                    <a:solidFill>
                      <a:srgbClr val="000000"/>
                    </a:solidFill>
                    <a:latin typeface="Arial"/>
                    <a:ea typeface="Arial"/>
                    <a:cs typeface="Arial"/>
                  </a:defRPr>
                </a:pPr>
                <a:r>
                  <a:rPr lang="en-US" sz="1400" b="0"/>
                  <a:t>DB je 100 Hennen</a:t>
                </a:r>
              </a:p>
            </c:rich>
          </c:tx>
          <c:layout>
            <c:manualLayout>
              <c:xMode val="edge"/>
              <c:yMode val="edge"/>
              <c:x val="1.1614866761109205E-3"/>
              <c:y val="8.3926689084815875E-2"/>
            </c:manualLayout>
          </c:layout>
          <c:overlay val="0"/>
          <c:spPr>
            <a:noFill/>
            <a:ln w="25400">
              <a:noFill/>
            </a:ln>
          </c:spPr>
        </c:title>
        <c:numFmt formatCode="#,##0\ \€;[Red]\-#,##0\ \€"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44694144"/>
        <c:crosses val="autoZero"/>
        <c:crossBetween val="between"/>
      </c:valAx>
      <c:valAx>
        <c:axId val="46210048"/>
        <c:scaling>
          <c:orientation val="minMax"/>
        </c:scaling>
        <c:delete val="0"/>
        <c:axPos val="r"/>
        <c:numFmt formatCode="#,##0.00_ ;[Red]\-#,##0.00\ " sourceLinked="1"/>
        <c:majorTickMark val="out"/>
        <c:minorTickMark val="none"/>
        <c:tickLblPos val="nextTo"/>
        <c:txPr>
          <a:bodyPr/>
          <a:lstStyle/>
          <a:p>
            <a:pPr>
              <a:defRPr sz="1400"/>
            </a:pPr>
            <a:endParaRPr lang="de-DE"/>
          </a:p>
        </c:txPr>
        <c:crossAx val="46215936"/>
        <c:crosses val="max"/>
        <c:crossBetween val="between"/>
      </c:valAx>
      <c:catAx>
        <c:axId val="46215936"/>
        <c:scaling>
          <c:orientation val="minMax"/>
        </c:scaling>
        <c:delete val="1"/>
        <c:axPos val="b"/>
        <c:numFmt formatCode="0%" sourceLinked="1"/>
        <c:majorTickMark val="out"/>
        <c:minorTickMark val="none"/>
        <c:tickLblPos val="nextTo"/>
        <c:crossAx val="46210048"/>
        <c:crosses val="autoZero"/>
        <c:auto val="0"/>
        <c:lblAlgn val="ctr"/>
        <c:lblOffset val="100"/>
        <c:noMultiLvlLbl val="0"/>
      </c:catAx>
      <c:spPr>
        <a:solidFill>
          <a:srgbClr val="FFFFC0"/>
        </a:solidFill>
        <a:ln w="12700">
          <a:noFill/>
          <a:prstDash val="solid"/>
        </a:ln>
      </c:spPr>
    </c:plotArea>
    <c:legend>
      <c:legendPos val="r"/>
      <c:layout>
        <c:manualLayout>
          <c:xMode val="edge"/>
          <c:yMode val="edge"/>
          <c:x val="0.21240804990322809"/>
          <c:y val="8.1408886210239839E-2"/>
          <c:w val="0.54724592212764234"/>
          <c:h val="0.16331763358239043"/>
        </c:manualLayout>
      </c:layout>
      <c:overlay val="0"/>
      <c:spPr>
        <a:noFill/>
        <a:ln w="3175">
          <a:noFill/>
          <a:prstDash val="solid"/>
        </a:ln>
      </c:spPr>
      <c:txPr>
        <a:bodyPr/>
        <a:lstStyle/>
        <a:p>
          <a:pPr>
            <a:defRPr sz="105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99"/>
    </a:solidFill>
    <a:ln w="3175">
      <a:no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1200" verticalDpi="12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50" b="1" i="0" u="none" strike="noStrike" baseline="0">
                <a:solidFill>
                  <a:srgbClr val="000000"/>
                </a:solidFill>
                <a:latin typeface="Arial"/>
                <a:ea typeface="Arial"/>
                <a:cs typeface="Arial"/>
              </a:defRPr>
            </a:pPr>
            <a:r>
              <a:rPr lang="de-DE" sz="1600"/>
              <a:t>Erforderlicher Eierpreis zur</a:t>
            </a:r>
          </a:p>
          <a:p>
            <a:pPr>
              <a:defRPr sz="1350" b="1" i="0" u="none" strike="noStrike" baseline="0">
                <a:solidFill>
                  <a:srgbClr val="000000"/>
                </a:solidFill>
                <a:latin typeface="Arial"/>
                <a:ea typeface="Arial"/>
                <a:cs typeface="Arial"/>
              </a:defRPr>
            </a:pPr>
            <a:r>
              <a:rPr lang="de-DE" sz="1600"/>
              <a:t> Deckung der Vollkosten</a:t>
            </a:r>
            <a:br>
              <a:rPr lang="de-DE" sz="1600"/>
            </a:br>
            <a:r>
              <a:rPr lang="de-DE" sz="1400" b="0"/>
              <a:t>ohne Mwst.</a:t>
            </a:r>
          </a:p>
        </c:rich>
      </c:tx>
      <c:layout>
        <c:manualLayout>
          <c:xMode val="edge"/>
          <c:yMode val="edge"/>
          <c:x val="0.2211564553452377"/>
          <c:y val="5.1184355237075124E-4"/>
        </c:manualLayout>
      </c:layout>
      <c:overlay val="0"/>
      <c:spPr>
        <a:noFill/>
        <a:ln w="25400">
          <a:noFill/>
        </a:ln>
      </c:spPr>
    </c:title>
    <c:autoTitleDeleted val="0"/>
    <c:plotArea>
      <c:layout>
        <c:manualLayout>
          <c:layoutTarget val="inner"/>
          <c:xMode val="edge"/>
          <c:yMode val="edge"/>
          <c:x val="0.20905715802887517"/>
          <c:y val="0.2432655618641254"/>
          <c:w val="0.7591986587106081"/>
          <c:h val="0.60447929294990665"/>
        </c:manualLayout>
      </c:layout>
      <c:barChart>
        <c:barDir val="col"/>
        <c:grouping val="clustered"/>
        <c:varyColors val="0"/>
        <c:ser>
          <c:idx val="0"/>
          <c:order val="0"/>
          <c:tx>
            <c:strRef>
              <c:f>'300Mobilstall'!$B$77</c:f>
              <c:strCache>
                <c:ptCount val="1"/>
                <c:pt idx="0">
                  <c:v>Erforderlicher durchschn.   Eierpreis (o. Mwst)</c:v>
                </c:pt>
              </c:strCache>
            </c:strRef>
          </c:tx>
          <c:spPr>
            <a:solidFill>
              <a:srgbClr val="00B0F0"/>
            </a:solidFill>
            <a:ln w="12700">
              <a:noFill/>
              <a:prstDash val="solid"/>
            </a:ln>
          </c:spPr>
          <c:invertIfNegative val="0"/>
          <c:dLbls>
            <c:numFmt formatCode="##.##&quot; Cent&quot;" sourceLinked="0"/>
            <c:spPr>
              <a:solidFill>
                <a:srgbClr val="FFFFC0"/>
              </a:solidFill>
              <a:ln w="3175">
                <a:noFill/>
                <a:prstDash val="solid"/>
              </a:ln>
            </c:spPr>
            <c:txPr>
              <a:bodyPr/>
              <a:lstStyle/>
              <a:p>
                <a:pPr>
                  <a:defRPr sz="14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numRef>
              <c:f>'6.000'!$G$42:$J$42</c:f>
              <c:numCache>
                <c:formatCode>0%</c:formatCode>
                <c:ptCount val="4"/>
                <c:pt idx="0">
                  <c:v>0.75</c:v>
                </c:pt>
                <c:pt idx="1">
                  <c:v>0.8</c:v>
                </c:pt>
                <c:pt idx="2">
                  <c:v>0.85</c:v>
                </c:pt>
              </c:numCache>
            </c:numRef>
          </c:cat>
          <c:val>
            <c:numRef>
              <c:f>'300Mobilstall'!$G$77:$I$77</c:f>
              <c:numCache>
                <c:formatCode>#,##0.00</c:formatCode>
                <c:ptCount val="3"/>
                <c:pt idx="0">
                  <c:v>40.625005991797131</c:v>
                </c:pt>
                <c:pt idx="1">
                  <c:v>38.709588495835348</c:v>
                </c:pt>
                <c:pt idx="2">
                  <c:v>37.019514234692608</c:v>
                </c:pt>
              </c:numCache>
            </c:numRef>
          </c:val>
        </c:ser>
        <c:dLbls>
          <c:showLegendKey val="0"/>
          <c:showVal val="0"/>
          <c:showCatName val="0"/>
          <c:showSerName val="0"/>
          <c:showPercent val="0"/>
          <c:showBubbleSize val="0"/>
        </c:dLbls>
        <c:gapWidth val="150"/>
        <c:axId val="46252032"/>
        <c:axId val="46253952"/>
      </c:barChart>
      <c:catAx>
        <c:axId val="46252032"/>
        <c:scaling>
          <c:orientation val="minMax"/>
        </c:scaling>
        <c:delete val="0"/>
        <c:axPos val="b"/>
        <c:title>
          <c:tx>
            <c:rich>
              <a:bodyPr/>
              <a:lstStyle/>
              <a:p>
                <a:pPr algn="ctr" rtl="0">
                  <a:defRPr lang="de-DE" sz="1400" b="1" i="0" u="none" strike="noStrike" kern="1200" baseline="0">
                    <a:solidFill>
                      <a:srgbClr val="000000"/>
                    </a:solidFill>
                    <a:latin typeface="Arial"/>
                    <a:ea typeface="Arial"/>
                    <a:cs typeface="Arial"/>
                  </a:defRPr>
                </a:pPr>
                <a:r>
                  <a:rPr lang="de-DE" sz="1400" b="1" i="0" u="none" strike="noStrike" kern="1200" baseline="0">
                    <a:solidFill>
                      <a:srgbClr val="000000"/>
                    </a:solidFill>
                    <a:latin typeface="Arial"/>
                    <a:ea typeface="Arial"/>
                    <a:cs typeface="Arial"/>
                  </a:rPr>
                  <a:t>Legeleistung je Durchschnittshenne</a:t>
                </a:r>
              </a:p>
            </c:rich>
          </c:tx>
          <c:layout>
            <c:manualLayout>
              <c:xMode val="edge"/>
              <c:yMode val="edge"/>
              <c:x val="0.16608575670588061"/>
              <c:y val="0.9244162694772626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de-DE"/>
          </a:p>
        </c:txPr>
        <c:crossAx val="46253952"/>
        <c:crosses val="autoZero"/>
        <c:auto val="1"/>
        <c:lblAlgn val="ctr"/>
        <c:lblOffset val="100"/>
        <c:noMultiLvlLbl val="0"/>
      </c:catAx>
      <c:valAx>
        <c:axId val="46253952"/>
        <c:scaling>
          <c:orientation val="minMax"/>
        </c:scaling>
        <c:delete val="0"/>
        <c:axPos val="l"/>
        <c:majorGridlines>
          <c:spPr>
            <a:ln w="3175">
              <a:solidFill>
                <a:srgbClr val="000000"/>
              </a:solidFill>
              <a:prstDash val="solid"/>
            </a:ln>
          </c:spPr>
        </c:majorGridlines>
        <c:numFmt formatCode="General"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46252032"/>
        <c:crosses val="autoZero"/>
        <c:crossBetween val="between"/>
      </c:valAx>
      <c:spPr>
        <a:solidFill>
          <a:srgbClr val="FFFFC0"/>
        </a:solidFill>
        <a:ln w="12700">
          <a:noFill/>
          <a:prstDash val="solid"/>
        </a:ln>
      </c:spPr>
    </c:plotArea>
    <c:plotVisOnly val="1"/>
    <c:dispBlanksAs val="gap"/>
    <c:showDLblsOverMax val="0"/>
  </c:chart>
  <c:spPr>
    <a:solidFill>
      <a:srgbClr val="FFFF99"/>
    </a:solidFill>
    <a:ln w="3175">
      <a:noFill/>
      <a:prstDash val="solid"/>
    </a:ln>
  </c:spPr>
  <c:txPr>
    <a:bodyPr/>
    <a:lstStyle/>
    <a:p>
      <a:pPr>
        <a:defRPr sz="875"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1200" verticalDpi="120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1.wmf"/><Relationship Id="rId1" Type="http://schemas.openxmlformats.org/officeDocument/2006/relationships/chart" Target="../charts/chart4.xml"/><Relationship Id="rId4"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image" Target="../media/image1.wmf"/><Relationship Id="rId1" Type="http://schemas.openxmlformats.org/officeDocument/2006/relationships/chart" Target="../charts/chart7.xml"/><Relationship Id="rId4"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0</xdr:colOff>
      <xdr:row>88</xdr:row>
      <xdr:rowOff>25879</xdr:rowOff>
    </xdr:from>
    <xdr:to>
      <xdr:col>0</xdr:col>
      <xdr:colOff>0</xdr:colOff>
      <xdr:row>88</xdr:row>
      <xdr:rowOff>60385</xdr:rowOff>
    </xdr:to>
    <xdr:sp macro="" textlink="">
      <xdr:nvSpPr>
        <xdr:cNvPr id="2921020" name="Zeichnung 1"/>
        <xdr:cNvSpPr>
          <a:spLocks/>
        </xdr:cNvSpPr>
      </xdr:nvSpPr>
      <xdr:spPr bwMode="auto">
        <a:xfrm>
          <a:off x="0" y="23196430"/>
          <a:ext cx="0" cy="34506"/>
        </a:xfrm>
        <a:custGeom>
          <a:avLst/>
          <a:gdLst>
            <a:gd name="T0" fmla="*/ 0 w 16384"/>
            <a:gd name="T1" fmla="*/ 2147483647 h 16384"/>
            <a:gd name="T2" fmla="*/ 0 w 16384"/>
            <a:gd name="T3" fmla="*/ 0 h 16384"/>
            <a:gd name="T4" fmla="*/ 0 w 16384"/>
            <a:gd name="T5" fmla="*/ 2147483647 h 16384"/>
            <a:gd name="T6" fmla="*/ 0 w 16384"/>
            <a:gd name="T7" fmla="*/ 2147483647 h 1638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6384" h="16384">
              <a:moveTo>
                <a:pt x="0" y="16384"/>
              </a:moveTo>
              <a:lnTo>
                <a:pt x="10923" y="0"/>
              </a:lnTo>
              <a:lnTo>
                <a:pt x="16384" y="5461"/>
              </a:lnTo>
              <a:lnTo>
                <a:pt x="0" y="16384"/>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clientData/>
  </xdr:twoCellAnchor>
  <xdr:twoCellAnchor editAs="oneCell">
    <xdr:from>
      <xdr:col>1</xdr:col>
      <xdr:colOff>51504</xdr:colOff>
      <xdr:row>0</xdr:row>
      <xdr:rowOff>63262</xdr:rowOff>
    </xdr:from>
    <xdr:to>
      <xdr:col>1</xdr:col>
      <xdr:colOff>1265207</xdr:colOff>
      <xdr:row>1</xdr:row>
      <xdr:rowOff>822067</xdr:rowOff>
    </xdr:to>
    <xdr:pic>
      <xdr:nvPicPr>
        <xdr:cNvPr id="292102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519" y="63262"/>
          <a:ext cx="1213703" cy="850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34505</xdr:colOff>
      <xdr:row>1</xdr:row>
      <xdr:rowOff>46008</xdr:rowOff>
    </xdr:from>
    <xdr:to>
      <xdr:col>7</xdr:col>
      <xdr:colOff>1483743</xdr:colOff>
      <xdr:row>2</xdr:row>
      <xdr:rowOff>227882</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0497" t="9317"/>
        <a:stretch/>
      </xdr:blipFill>
      <xdr:spPr>
        <a:xfrm>
          <a:off x="9339532" y="138023"/>
          <a:ext cx="1449238" cy="1102026"/>
        </a:xfrm>
        <a:prstGeom prst="rect">
          <a:avLst/>
        </a:prstGeom>
      </xdr:spPr>
    </xdr:pic>
    <xdr:clientData/>
  </xdr:twoCellAnchor>
  <xdr:twoCellAnchor>
    <xdr:from>
      <xdr:col>9</xdr:col>
      <xdr:colOff>126521</xdr:colOff>
      <xdr:row>35</xdr:row>
      <xdr:rowOff>46007</xdr:rowOff>
    </xdr:from>
    <xdr:to>
      <xdr:col>9</xdr:col>
      <xdr:colOff>609600</xdr:colOff>
      <xdr:row>35</xdr:row>
      <xdr:rowOff>345056</xdr:rowOff>
    </xdr:to>
    <xdr:sp macro="" textlink="">
      <xdr:nvSpPr>
        <xdr:cNvPr id="2" name="Pfeil nach rechts 1"/>
        <xdr:cNvSpPr/>
      </xdr:nvSpPr>
      <xdr:spPr bwMode="auto">
        <a:xfrm rot="10800000">
          <a:off x="11340861" y="8281358"/>
          <a:ext cx="483079" cy="299049"/>
        </a:xfrm>
        <a:prstGeom prst="rightArrow">
          <a:avLst/>
        </a:prstGeom>
        <a:solidFill>
          <a:srgbClr xmlns:mc="http://schemas.openxmlformats.org/markup-compatibility/2006" xmlns:a14="http://schemas.microsoft.com/office/drawing/2010/main" val="FFFFFF" mc:Ignorable="a14" a14:legacySpreadsheetColorIndex="9"/>
        </a:solidFill>
        <a:ln w="571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de-DE"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39662</xdr:colOff>
      <xdr:row>31</xdr:row>
      <xdr:rowOff>146537</xdr:rowOff>
    </xdr:from>
    <xdr:to>
      <xdr:col>12</xdr:col>
      <xdr:colOff>39662</xdr:colOff>
      <xdr:row>55</xdr:row>
      <xdr:rowOff>39662</xdr:rowOff>
    </xdr:to>
    <xdr:graphicFrame macro="">
      <xdr:nvGraphicFramePr>
        <xdr:cNvPr id="4" name="Diagramm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120770</xdr:colOff>
      <xdr:row>2</xdr:row>
      <xdr:rowOff>25879</xdr:rowOff>
    </xdr:from>
    <xdr:to>
      <xdr:col>2</xdr:col>
      <xdr:colOff>25879</xdr:colOff>
      <xdr:row>3</xdr:row>
      <xdr:rowOff>17253</xdr:rowOff>
    </xdr:to>
    <xdr:pic>
      <xdr:nvPicPr>
        <xdr:cNvPr id="5"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7419" y="258792"/>
          <a:ext cx="664234" cy="500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9</xdr:row>
      <xdr:rowOff>0</xdr:rowOff>
    </xdr:from>
    <xdr:to>
      <xdr:col>7</xdr:col>
      <xdr:colOff>9916</xdr:colOff>
      <xdr:row>31</xdr:row>
      <xdr:rowOff>29745</xdr:rowOff>
    </xdr:to>
    <xdr:graphicFrame macro="">
      <xdr:nvGraphicFramePr>
        <xdr:cNvPr id="6" name="Diagram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128902</xdr:colOff>
      <xdr:row>9</xdr:row>
      <xdr:rowOff>39661</xdr:rowOff>
    </xdr:from>
    <xdr:to>
      <xdr:col>12</xdr:col>
      <xdr:colOff>674249</xdr:colOff>
      <xdr:row>31</xdr:row>
      <xdr:rowOff>60780</xdr:rowOff>
    </xdr:to>
    <xdr:graphicFrame macro="">
      <xdr:nvGraphicFramePr>
        <xdr:cNvPr id="7" name="Diagramm 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0.23957</cdr:x>
      <cdr:y>0.06238</cdr:y>
    </cdr:from>
    <cdr:to>
      <cdr:x>0.31784</cdr:x>
      <cdr:y>0.12199</cdr:y>
    </cdr:to>
    <cdr:sp macro="" textlink="'6.000'!#REF!">
      <cdr:nvSpPr>
        <cdr:cNvPr id="15361"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5362"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2"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3"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4"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5"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6"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7"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8"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9"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10"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1"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12"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3"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14"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5"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0.71158</cdr:x>
      <cdr:y>0.0802</cdr:y>
    </cdr:from>
    <cdr:to>
      <cdr:x>1</cdr:x>
      <cdr:y>0.19969</cdr:y>
    </cdr:to>
    <cdr:sp macro="" textlink="">
      <cdr:nvSpPr>
        <cdr:cNvPr id="16" name="Textfeld 15"/>
        <cdr:cNvSpPr txBox="1"/>
      </cdr:nvSpPr>
      <cdr:spPr>
        <a:xfrm xmlns:a="http://schemas.openxmlformats.org/drawingml/2006/main">
          <a:off x="2878681" y="364203"/>
          <a:ext cx="1166811" cy="5426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de-DE" sz="1400" b="0">
              <a:latin typeface="Arial" panose="020B0604020202020204" pitchFamily="34" charset="0"/>
              <a:cs typeface="Arial" panose="020B0604020202020204" pitchFamily="34" charset="0"/>
            </a:rPr>
            <a:t>Verwertung</a:t>
          </a:r>
          <a:r>
            <a:rPr lang="de-DE" sz="1400" b="0" baseline="0">
              <a:latin typeface="Arial" panose="020B0604020202020204" pitchFamily="34" charset="0"/>
              <a:cs typeface="Arial" panose="020B0604020202020204" pitchFamily="34" charset="0"/>
            </a:rPr>
            <a:t> je Akh</a:t>
          </a:r>
          <a:endParaRPr lang="de-DE" sz="1400" b="0">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0.23957</cdr:x>
      <cdr:y>0.06238</cdr:y>
    </cdr:from>
    <cdr:to>
      <cdr:x>0.31784</cdr:x>
      <cdr:y>0.12199</cdr:y>
    </cdr:to>
    <cdr:sp macro="" textlink="'6.000'!#REF!">
      <cdr:nvSpPr>
        <cdr:cNvPr id="15361"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5362"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2"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3"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4"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5"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6"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7"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8"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9"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10"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1"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12"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3"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14"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5"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0.0453</cdr:x>
      <cdr:y>0.11813</cdr:y>
    </cdr:from>
    <cdr:to>
      <cdr:x>0.28777</cdr:x>
      <cdr:y>0.21685</cdr:y>
    </cdr:to>
    <cdr:sp macro="" textlink="">
      <cdr:nvSpPr>
        <cdr:cNvPr id="17" name="Textfeld 16"/>
        <cdr:cNvSpPr txBox="1"/>
      </cdr:nvSpPr>
      <cdr:spPr>
        <a:xfrm xmlns:a="http://schemas.openxmlformats.org/drawingml/2006/main">
          <a:off x="187286" y="535433"/>
          <a:ext cx="1002565" cy="4474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400">
              <a:latin typeface="Arial" panose="020B0604020202020204" pitchFamily="34" charset="0"/>
              <a:cs typeface="Arial" panose="020B0604020202020204" pitchFamily="34" charset="0"/>
            </a:rPr>
            <a:t>Cent je Ei</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79</xdr:row>
      <xdr:rowOff>25879</xdr:rowOff>
    </xdr:from>
    <xdr:to>
      <xdr:col>0</xdr:col>
      <xdr:colOff>0</xdr:colOff>
      <xdr:row>79</xdr:row>
      <xdr:rowOff>60385</xdr:rowOff>
    </xdr:to>
    <xdr:sp macro="" textlink="">
      <xdr:nvSpPr>
        <xdr:cNvPr id="2" name="Zeichnung 1"/>
        <xdr:cNvSpPr>
          <a:spLocks/>
        </xdr:cNvSpPr>
      </xdr:nvSpPr>
      <xdr:spPr bwMode="auto">
        <a:xfrm>
          <a:off x="0" y="17572007"/>
          <a:ext cx="0" cy="34506"/>
        </a:xfrm>
        <a:custGeom>
          <a:avLst/>
          <a:gdLst>
            <a:gd name="T0" fmla="*/ 0 w 16384"/>
            <a:gd name="T1" fmla="*/ 2147483647 h 16384"/>
            <a:gd name="T2" fmla="*/ 0 w 16384"/>
            <a:gd name="T3" fmla="*/ 0 h 16384"/>
            <a:gd name="T4" fmla="*/ 0 w 16384"/>
            <a:gd name="T5" fmla="*/ 2147483647 h 16384"/>
            <a:gd name="T6" fmla="*/ 0 w 16384"/>
            <a:gd name="T7" fmla="*/ 2147483647 h 1638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6384" h="16384">
              <a:moveTo>
                <a:pt x="0" y="16384"/>
              </a:moveTo>
              <a:lnTo>
                <a:pt x="10923" y="0"/>
              </a:lnTo>
              <a:lnTo>
                <a:pt x="16384" y="5461"/>
              </a:lnTo>
              <a:lnTo>
                <a:pt x="0" y="16384"/>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clientData/>
  </xdr:twoCellAnchor>
  <xdr:twoCellAnchor editAs="oneCell">
    <xdr:from>
      <xdr:col>1</xdr:col>
      <xdr:colOff>77638</xdr:colOff>
      <xdr:row>1</xdr:row>
      <xdr:rowOff>17253</xdr:rowOff>
    </xdr:from>
    <xdr:to>
      <xdr:col>1</xdr:col>
      <xdr:colOff>727268</xdr:colOff>
      <xdr:row>2</xdr:row>
      <xdr:rowOff>20298</xdr:rowOff>
    </xdr:to>
    <xdr:pic>
      <xdr:nvPicPr>
        <xdr:cNvPr id="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529" y="94891"/>
          <a:ext cx="649630" cy="460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1457864</xdr:colOff>
      <xdr:row>77</xdr:row>
      <xdr:rowOff>17253</xdr:rowOff>
    </xdr:from>
    <xdr:ext cx="184731" cy="264560"/>
    <xdr:sp macro="" textlink="">
      <xdr:nvSpPr>
        <xdr:cNvPr id="4" name="Textfeld 3"/>
        <xdr:cNvSpPr txBox="1"/>
      </xdr:nvSpPr>
      <xdr:spPr>
        <a:xfrm>
          <a:off x="3640347" y="169940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2</xdr:col>
      <xdr:colOff>1457864</xdr:colOff>
      <xdr:row>77</xdr:row>
      <xdr:rowOff>17253</xdr:rowOff>
    </xdr:from>
    <xdr:ext cx="184731" cy="264560"/>
    <xdr:sp macro="" textlink="">
      <xdr:nvSpPr>
        <xdr:cNvPr id="5" name="Textfeld 4"/>
        <xdr:cNvSpPr txBox="1"/>
      </xdr:nvSpPr>
      <xdr:spPr>
        <a:xfrm>
          <a:off x="3640347" y="169940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xdr:col>
      <xdr:colOff>1457864</xdr:colOff>
      <xdr:row>38</xdr:row>
      <xdr:rowOff>17253</xdr:rowOff>
    </xdr:from>
    <xdr:ext cx="184731" cy="264560"/>
    <xdr:sp macro="" textlink="">
      <xdr:nvSpPr>
        <xdr:cNvPr id="2" name="Textfeld 1"/>
        <xdr:cNvSpPr txBox="1"/>
      </xdr:nvSpPr>
      <xdr:spPr>
        <a:xfrm>
          <a:off x="3640347" y="182189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1457864</xdr:colOff>
      <xdr:row>38</xdr:row>
      <xdr:rowOff>17253</xdr:rowOff>
    </xdr:from>
    <xdr:ext cx="184731" cy="264560"/>
    <xdr:sp macro="" textlink="">
      <xdr:nvSpPr>
        <xdr:cNvPr id="3" name="Textfeld 2"/>
        <xdr:cNvSpPr txBox="1"/>
      </xdr:nvSpPr>
      <xdr:spPr>
        <a:xfrm>
          <a:off x="3640347" y="182189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1</xdr:col>
      <xdr:colOff>356955</xdr:colOff>
      <xdr:row>31</xdr:row>
      <xdr:rowOff>156452</xdr:rowOff>
    </xdr:from>
    <xdr:to>
      <xdr:col>12</xdr:col>
      <xdr:colOff>356955</xdr:colOff>
      <xdr:row>55</xdr:row>
      <xdr:rowOff>49577</xdr:rowOff>
    </xdr:to>
    <xdr:graphicFrame macro="">
      <xdr:nvGraphicFramePr>
        <xdr:cNvPr id="4" name="Diagramm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120770</xdr:colOff>
      <xdr:row>2</xdr:row>
      <xdr:rowOff>25879</xdr:rowOff>
    </xdr:from>
    <xdr:to>
      <xdr:col>2</xdr:col>
      <xdr:colOff>25879</xdr:colOff>
      <xdr:row>3</xdr:row>
      <xdr:rowOff>17253</xdr:rowOff>
    </xdr:to>
    <xdr:pic>
      <xdr:nvPicPr>
        <xdr:cNvPr id="5"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7419" y="258792"/>
          <a:ext cx="664234" cy="500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9</xdr:row>
      <xdr:rowOff>0</xdr:rowOff>
    </xdr:from>
    <xdr:to>
      <xdr:col>7</xdr:col>
      <xdr:colOff>9916</xdr:colOff>
      <xdr:row>31</xdr:row>
      <xdr:rowOff>29745</xdr:rowOff>
    </xdr:to>
    <xdr:graphicFrame macro="">
      <xdr:nvGraphicFramePr>
        <xdr:cNvPr id="7" name="Diagram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118985</xdr:colOff>
      <xdr:row>8</xdr:row>
      <xdr:rowOff>178479</xdr:rowOff>
    </xdr:from>
    <xdr:to>
      <xdr:col>12</xdr:col>
      <xdr:colOff>674249</xdr:colOff>
      <xdr:row>31</xdr:row>
      <xdr:rowOff>1289</xdr:rowOff>
    </xdr:to>
    <xdr:graphicFrame macro="">
      <xdr:nvGraphicFramePr>
        <xdr:cNvPr id="8" name="Diagramm 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0.23957</cdr:x>
      <cdr:y>0.06238</cdr:y>
    </cdr:from>
    <cdr:to>
      <cdr:x>0.31784</cdr:x>
      <cdr:y>0.12199</cdr:y>
    </cdr:to>
    <cdr:sp macro="" textlink="'6.000'!#REF!">
      <cdr:nvSpPr>
        <cdr:cNvPr id="15361"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5362"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2"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3"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4"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5"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6"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7"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8"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9"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10"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1"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12"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3"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14"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5"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0.71158</cdr:x>
      <cdr:y>0.0802</cdr:y>
    </cdr:from>
    <cdr:to>
      <cdr:x>1</cdr:x>
      <cdr:y>0.19969</cdr:y>
    </cdr:to>
    <cdr:sp macro="" textlink="">
      <cdr:nvSpPr>
        <cdr:cNvPr id="16" name="Textfeld 15"/>
        <cdr:cNvSpPr txBox="1"/>
      </cdr:nvSpPr>
      <cdr:spPr>
        <a:xfrm xmlns:a="http://schemas.openxmlformats.org/drawingml/2006/main">
          <a:off x="2878681" y="364203"/>
          <a:ext cx="1166811" cy="5426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de-DE" sz="1400" b="0">
              <a:latin typeface="Arial" panose="020B0604020202020204" pitchFamily="34" charset="0"/>
              <a:cs typeface="Arial" panose="020B0604020202020204" pitchFamily="34" charset="0"/>
            </a:rPr>
            <a:t>Verwertung</a:t>
          </a:r>
          <a:r>
            <a:rPr lang="de-DE" sz="1400" b="0" baseline="0">
              <a:latin typeface="Arial" panose="020B0604020202020204" pitchFamily="34" charset="0"/>
              <a:cs typeface="Arial" panose="020B0604020202020204" pitchFamily="34" charset="0"/>
            </a:rPr>
            <a:t> je Akh</a:t>
          </a:r>
          <a:endParaRPr lang="de-DE" sz="1400" b="0">
            <a:latin typeface="Arial" panose="020B0604020202020204" pitchFamily="34" charset="0"/>
            <a:cs typeface="Arial"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0.23957</cdr:x>
      <cdr:y>0.06238</cdr:y>
    </cdr:from>
    <cdr:to>
      <cdr:x>0.31784</cdr:x>
      <cdr:y>0.12199</cdr:y>
    </cdr:to>
    <cdr:sp macro="" textlink="'6.000'!#REF!">
      <cdr:nvSpPr>
        <cdr:cNvPr id="15361"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5362"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2"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3"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4"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5"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6"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7"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8"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9"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10"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1"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12"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3"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14"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5"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0.05249</cdr:x>
      <cdr:y>0.11157</cdr:y>
    </cdr:from>
    <cdr:to>
      <cdr:x>0.28182</cdr:x>
      <cdr:y>0.21685</cdr:y>
    </cdr:to>
    <cdr:sp macro="" textlink="">
      <cdr:nvSpPr>
        <cdr:cNvPr id="17" name="Textfeld 16"/>
        <cdr:cNvSpPr txBox="1"/>
      </cdr:nvSpPr>
      <cdr:spPr>
        <a:xfrm xmlns:a="http://schemas.openxmlformats.org/drawingml/2006/main">
          <a:off x="229003" y="505684"/>
          <a:ext cx="1000509" cy="4772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400">
              <a:latin typeface="Arial" panose="020B0604020202020204" pitchFamily="34" charset="0"/>
              <a:cs typeface="Arial" panose="020B0604020202020204" pitchFamily="34" charset="0"/>
            </a:rPr>
            <a:t>Cent je Ei</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4</xdr:col>
      <xdr:colOff>526211</xdr:colOff>
      <xdr:row>7</xdr:row>
      <xdr:rowOff>396815</xdr:rowOff>
    </xdr:from>
    <xdr:to>
      <xdr:col>10</xdr:col>
      <xdr:colOff>0</xdr:colOff>
      <xdr:row>9</xdr:row>
      <xdr:rowOff>2104845</xdr:rowOff>
    </xdr:to>
    <xdr:pic>
      <xdr:nvPicPr>
        <xdr:cNvPr id="2847989"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2981" y="1621766"/>
          <a:ext cx="3812876" cy="3157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724619</xdr:colOff>
      <xdr:row>2</xdr:row>
      <xdr:rowOff>17253</xdr:rowOff>
    </xdr:to>
    <xdr:pic>
      <xdr:nvPicPr>
        <xdr:cNvPr id="2847990"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396" y="172528"/>
          <a:ext cx="724619" cy="50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79</xdr:row>
      <xdr:rowOff>25879</xdr:rowOff>
    </xdr:from>
    <xdr:to>
      <xdr:col>0</xdr:col>
      <xdr:colOff>0</xdr:colOff>
      <xdr:row>79</xdr:row>
      <xdr:rowOff>60385</xdr:rowOff>
    </xdr:to>
    <xdr:sp macro="" textlink="">
      <xdr:nvSpPr>
        <xdr:cNvPr id="4104199" name="Zeichnung 1"/>
        <xdr:cNvSpPr>
          <a:spLocks/>
        </xdr:cNvSpPr>
      </xdr:nvSpPr>
      <xdr:spPr bwMode="auto">
        <a:xfrm>
          <a:off x="0" y="24317864"/>
          <a:ext cx="0" cy="34506"/>
        </a:xfrm>
        <a:custGeom>
          <a:avLst/>
          <a:gdLst>
            <a:gd name="T0" fmla="*/ 0 w 16384"/>
            <a:gd name="T1" fmla="*/ 2147483647 h 16384"/>
            <a:gd name="T2" fmla="*/ 0 w 16384"/>
            <a:gd name="T3" fmla="*/ 0 h 16384"/>
            <a:gd name="T4" fmla="*/ 0 w 16384"/>
            <a:gd name="T5" fmla="*/ 2147483647 h 16384"/>
            <a:gd name="T6" fmla="*/ 0 w 16384"/>
            <a:gd name="T7" fmla="*/ 2147483647 h 1638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6384" h="16384">
              <a:moveTo>
                <a:pt x="0" y="16384"/>
              </a:moveTo>
              <a:lnTo>
                <a:pt x="10923" y="0"/>
              </a:lnTo>
              <a:lnTo>
                <a:pt x="16384" y="5461"/>
              </a:lnTo>
              <a:lnTo>
                <a:pt x="0" y="16384"/>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clientData/>
  </xdr:twoCellAnchor>
  <xdr:twoCellAnchor editAs="oneCell">
    <xdr:from>
      <xdr:col>1</xdr:col>
      <xdr:colOff>77638</xdr:colOff>
      <xdr:row>1</xdr:row>
      <xdr:rowOff>17253</xdr:rowOff>
    </xdr:from>
    <xdr:to>
      <xdr:col>1</xdr:col>
      <xdr:colOff>727268</xdr:colOff>
      <xdr:row>2</xdr:row>
      <xdr:rowOff>20298</xdr:rowOff>
    </xdr:to>
    <xdr:pic>
      <xdr:nvPicPr>
        <xdr:cNvPr id="4104200"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977" y="98442"/>
          <a:ext cx="649630" cy="459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1457864</xdr:colOff>
      <xdr:row>77</xdr:row>
      <xdr:rowOff>17253</xdr:rowOff>
    </xdr:from>
    <xdr:ext cx="184731" cy="264560"/>
    <xdr:sp macro="" textlink="">
      <xdr:nvSpPr>
        <xdr:cNvPr id="2" name="Textfeld 1"/>
        <xdr:cNvSpPr txBox="1"/>
      </xdr:nvSpPr>
      <xdr:spPr>
        <a:xfrm>
          <a:off x="1552755" y="170544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1457864</xdr:colOff>
      <xdr:row>38</xdr:row>
      <xdr:rowOff>17253</xdr:rowOff>
    </xdr:from>
    <xdr:ext cx="184731" cy="264560"/>
    <xdr:sp macro="" textlink="">
      <xdr:nvSpPr>
        <xdr:cNvPr id="2" name="Textfeld 1"/>
        <xdr:cNvSpPr txBox="1"/>
      </xdr:nvSpPr>
      <xdr:spPr>
        <a:xfrm>
          <a:off x="3027872" y="70132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1457864</xdr:colOff>
      <xdr:row>38</xdr:row>
      <xdr:rowOff>17253</xdr:rowOff>
    </xdr:from>
    <xdr:ext cx="184731" cy="264560"/>
    <xdr:sp macro="" textlink="">
      <xdr:nvSpPr>
        <xdr:cNvPr id="3" name="Textfeld 2"/>
        <xdr:cNvSpPr txBox="1"/>
      </xdr:nvSpPr>
      <xdr:spPr>
        <a:xfrm>
          <a:off x="3027872" y="70132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0</xdr:colOff>
      <xdr:row>9</xdr:row>
      <xdr:rowOff>0</xdr:rowOff>
    </xdr:from>
    <xdr:to>
      <xdr:col>6</xdr:col>
      <xdr:colOff>694080</xdr:colOff>
      <xdr:row>31</xdr:row>
      <xdr:rowOff>29745</xdr:rowOff>
    </xdr:to>
    <xdr:graphicFrame macro="">
      <xdr:nvGraphicFramePr>
        <xdr:cNvPr id="2661225" name="Diagram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59492</xdr:colOff>
      <xdr:row>8</xdr:row>
      <xdr:rowOff>187104</xdr:rowOff>
    </xdr:from>
    <xdr:to>
      <xdr:col>12</xdr:col>
      <xdr:colOff>604841</xdr:colOff>
      <xdr:row>31</xdr:row>
      <xdr:rowOff>9914</xdr:rowOff>
    </xdr:to>
    <xdr:graphicFrame macro="">
      <xdr:nvGraphicFramePr>
        <xdr:cNvPr id="2661226" name="Diagramm 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426363</xdr:colOff>
      <xdr:row>31</xdr:row>
      <xdr:rowOff>156453</xdr:rowOff>
    </xdr:from>
    <xdr:to>
      <xdr:col>12</xdr:col>
      <xdr:colOff>426363</xdr:colOff>
      <xdr:row>55</xdr:row>
      <xdr:rowOff>49578</xdr:rowOff>
    </xdr:to>
    <xdr:graphicFrame macro="">
      <xdr:nvGraphicFramePr>
        <xdr:cNvPr id="2661228" name="Diagramm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120770</xdr:colOff>
      <xdr:row>2</xdr:row>
      <xdr:rowOff>25879</xdr:rowOff>
    </xdr:from>
    <xdr:to>
      <xdr:col>2</xdr:col>
      <xdr:colOff>25879</xdr:colOff>
      <xdr:row>3</xdr:row>
      <xdr:rowOff>17253</xdr:rowOff>
    </xdr:to>
    <xdr:pic>
      <xdr:nvPicPr>
        <xdr:cNvPr id="2661230" name="Grafik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7419" y="258792"/>
          <a:ext cx="664234" cy="500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0.23957</cdr:x>
      <cdr:y>0.06238</cdr:y>
    </cdr:from>
    <cdr:to>
      <cdr:x>0.31784</cdr:x>
      <cdr:y>0.12199</cdr:y>
    </cdr:to>
    <cdr:sp macro="" textlink="'6.000'!#REF!">
      <cdr:nvSpPr>
        <cdr:cNvPr id="15361"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5362"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2"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3"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4"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5"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6"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7"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8"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9"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10"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1"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12"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3"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14"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5"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0.71158</cdr:x>
      <cdr:y>0.0802</cdr:y>
    </cdr:from>
    <cdr:to>
      <cdr:x>1</cdr:x>
      <cdr:y>0.19969</cdr:y>
    </cdr:to>
    <cdr:sp macro="" textlink="">
      <cdr:nvSpPr>
        <cdr:cNvPr id="16" name="Textfeld 15"/>
        <cdr:cNvSpPr txBox="1"/>
      </cdr:nvSpPr>
      <cdr:spPr>
        <a:xfrm xmlns:a="http://schemas.openxmlformats.org/drawingml/2006/main">
          <a:off x="2878681" y="364203"/>
          <a:ext cx="1166811" cy="5426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de-DE" sz="1400" b="0">
              <a:latin typeface="Arial" panose="020B0604020202020204" pitchFamily="34" charset="0"/>
              <a:cs typeface="Arial" panose="020B0604020202020204" pitchFamily="34" charset="0"/>
            </a:rPr>
            <a:t>Verwertung</a:t>
          </a:r>
          <a:r>
            <a:rPr lang="de-DE" sz="1400" b="0" baseline="0">
              <a:latin typeface="Arial" panose="020B0604020202020204" pitchFamily="34" charset="0"/>
              <a:cs typeface="Arial" panose="020B0604020202020204" pitchFamily="34" charset="0"/>
            </a:rPr>
            <a:t> je Akh</a:t>
          </a:r>
          <a:endParaRPr lang="de-DE" sz="1400" b="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0.23957</cdr:x>
      <cdr:y>0.06238</cdr:y>
    </cdr:from>
    <cdr:to>
      <cdr:x>0.31784</cdr:x>
      <cdr:y>0.12199</cdr:y>
    </cdr:to>
    <cdr:sp macro="" textlink="'6.000'!#REF!">
      <cdr:nvSpPr>
        <cdr:cNvPr id="15361"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5362"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2"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3"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4"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5"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6"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7"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8"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9"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10"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1"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12"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3"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0.23957</cdr:x>
      <cdr:y>0.06238</cdr:y>
    </cdr:from>
    <cdr:to>
      <cdr:x>0.31784</cdr:x>
      <cdr:y>0.12199</cdr:y>
    </cdr:to>
    <cdr:sp macro="" textlink="'6.000'!#REF!">
      <cdr:nvSpPr>
        <cdr:cNvPr id="14" name="Text Box 1"/>
        <cdr:cNvSpPr txBox="1">
          <a:spLocks xmlns:a="http://schemas.openxmlformats.org/drawingml/2006/main" noChangeArrowheads="1" noTextEdit="1"/>
        </cdr:cNvSpPr>
      </cdr:nvSpPr>
      <cdr:spPr bwMode="auto">
        <a:xfrm xmlns:a="http://schemas.openxmlformats.org/drawingml/2006/main">
          <a:off x="996119" y="264763"/>
          <a:ext cx="325442" cy="2529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D4B78A-4429-4D83-9067-0C51BBA5D85D}" type="TxLink">
            <a:rPr lang="de-DE" sz="1200" b="1" i="0" u="none" strike="noStrike" baseline="0">
              <a:solidFill>
                <a:srgbClr val="000000"/>
              </a:solidFill>
              <a:latin typeface="Arial"/>
              <a:cs typeface="Arial"/>
            </a:rPr>
            <a:pPr algn="ctr" rtl="0">
              <a:defRPr sz="1000"/>
            </a:pPr>
            <a:t> </a:t>
          </a:fld>
          <a:endParaRPr lang="de-DE"/>
        </a:p>
      </cdr:txBody>
    </cdr:sp>
  </cdr:relSizeAnchor>
  <cdr:relSizeAnchor xmlns:cdr="http://schemas.openxmlformats.org/drawingml/2006/chartDrawing">
    <cdr:from>
      <cdr:x>0.31255</cdr:x>
      <cdr:y>0.06483</cdr:y>
    </cdr:from>
    <cdr:to>
      <cdr:x>0.67248</cdr:x>
      <cdr:y>0.12467</cdr:y>
    </cdr:to>
    <cdr:sp macro="" textlink="">
      <cdr:nvSpPr>
        <cdr:cNvPr id="15" name="Text Box 2"/>
        <cdr:cNvSpPr txBox="1">
          <a:spLocks xmlns:a="http://schemas.openxmlformats.org/drawingml/2006/main" noChangeArrowheads="1"/>
        </cdr:cNvSpPr>
      </cdr:nvSpPr>
      <cdr:spPr bwMode="auto">
        <a:xfrm xmlns:a="http://schemas.openxmlformats.org/drawingml/2006/main">
          <a:off x="1299562" y="253900"/>
          <a:ext cx="1496565" cy="2343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dr:relSizeAnchor xmlns:cdr="http://schemas.openxmlformats.org/drawingml/2006/chartDrawing">
    <cdr:from>
      <cdr:x>0.02762</cdr:x>
      <cdr:y>0.12279</cdr:y>
    </cdr:from>
    <cdr:to>
      <cdr:x>0.29834</cdr:x>
      <cdr:y>0.2081</cdr:y>
    </cdr:to>
    <cdr:sp macro="" textlink="">
      <cdr:nvSpPr>
        <cdr:cNvPr id="17" name="Textfeld 16"/>
        <cdr:cNvSpPr txBox="1"/>
      </cdr:nvSpPr>
      <cdr:spPr>
        <a:xfrm xmlns:a="http://schemas.openxmlformats.org/drawingml/2006/main">
          <a:off x="99155" y="556553"/>
          <a:ext cx="971711" cy="3867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400">
              <a:latin typeface="Arial" panose="020B0604020202020204" pitchFamily="34" charset="0"/>
              <a:cs typeface="Arial" panose="020B0604020202020204" pitchFamily="34" charset="0"/>
            </a:rPr>
            <a:t>Cent je Ei</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79</xdr:row>
      <xdr:rowOff>25879</xdr:rowOff>
    </xdr:from>
    <xdr:to>
      <xdr:col>0</xdr:col>
      <xdr:colOff>0</xdr:colOff>
      <xdr:row>79</xdr:row>
      <xdr:rowOff>60385</xdr:rowOff>
    </xdr:to>
    <xdr:sp macro="" textlink="">
      <xdr:nvSpPr>
        <xdr:cNvPr id="2" name="Zeichnung 1"/>
        <xdr:cNvSpPr>
          <a:spLocks/>
        </xdr:cNvSpPr>
      </xdr:nvSpPr>
      <xdr:spPr bwMode="auto">
        <a:xfrm>
          <a:off x="0" y="17572007"/>
          <a:ext cx="0" cy="34506"/>
        </a:xfrm>
        <a:custGeom>
          <a:avLst/>
          <a:gdLst>
            <a:gd name="T0" fmla="*/ 0 w 16384"/>
            <a:gd name="T1" fmla="*/ 2147483647 h 16384"/>
            <a:gd name="T2" fmla="*/ 0 w 16384"/>
            <a:gd name="T3" fmla="*/ 0 h 16384"/>
            <a:gd name="T4" fmla="*/ 0 w 16384"/>
            <a:gd name="T5" fmla="*/ 2147483647 h 16384"/>
            <a:gd name="T6" fmla="*/ 0 w 16384"/>
            <a:gd name="T7" fmla="*/ 2147483647 h 1638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6384" h="16384">
              <a:moveTo>
                <a:pt x="0" y="16384"/>
              </a:moveTo>
              <a:lnTo>
                <a:pt x="10923" y="0"/>
              </a:lnTo>
              <a:lnTo>
                <a:pt x="16384" y="5461"/>
              </a:lnTo>
              <a:lnTo>
                <a:pt x="0" y="16384"/>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clientData/>
  </xdr:twoCellAnchor>
  <xdr:twoCellAnchor editAs="oneCell">
    <xdr:from>
      <xdr:col>1</xdr:col>
      <xdr:colOff>77638</xdr:colOff>
      <xdr:row>1</xdr:row>
      <xdr:rowOff>17253</xdr:rowOff>
    </xdr:from>
    <xdr:to>
      <xdr:col>1</xdr:col>
      <xdr:colOff>727268</xdr:colOff>
      <xdr:row>2</xdr:row>
      <xdr:rowOff>20298</xdr:rowOff>
    </xdr:to>
    <xdr:pic>
      <xdr:nvPicPr>
        <xdr:cNvPr id="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529" y="94891"/>
          <a:ext cx="649630" cy="460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1457864</xdr:colOff>
      <xdr:row>77</xdr:row>
      <xdr:rowOff>17253</xdr:rowOff>
    </xdr:from>
    <xdr:ext cx="184731" cy="264560"/>
    <xdr:sp macro="" textlink="">
      <xdr:nvSpPr>
        <xdr:cNvPr id="4" name="Textfeld 3"/>
        <xdr:cNvSpPr txBox="1"/>
      </xdr:nvSpPr>
      <xdr:spPr>
        <a:xfrm>
          <a:off x="3640347" y="169940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2</xdr:col>
      <xdr:colOff>1457864</xdr:colOff>
      <xdr:row>77</xdr:row>
      <xdr:rowOff>17253</xdr:rowOff>
    </xdr:from>
    <xdr:ext cx="184731" cy="264560"/>
    <xdr:sp macro="" textlink="">
      <xdr:nvSpPr>
        <xdr:cNvPr id="5" name="Textfeld 4"/>
        <xdr:cNvSpPr txBox="1"/>
      </xdr:nvSpPr>
      <xdr:spPr>
        <a:xfrm>
          <a:off x="3640347" y="169940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xdr:col>
      <xdr:colOff>1457864</xdr:colOff>
      <xdr:row>38</xdr:row>
      <xdr:rowOff>17253</xdr:rowOff>
    </xdr:from>
    <xdr:ext cx="184731" cy="264560"/>
    <xdr:sp macro="" textlink="">
      <xdr:nvSpPr>
        <xdr:cNvPr id="2" name="Textfeld 1"/>
        <xdr:cNvSpPr txBox="1"/>
      </xdr:nvSpPr>
      <xdr:spPr>
        <a:xfrm>
          <a:off x="3027872" y="70132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1457864</xdr:colOff>
      <xdr:row>38</xdr:row>
      <xdr:rowOff>17253</xdr:rowOff>
    </xdr:from>
    <xdr:ext cx="184731" cy="264560"/>
    <xdr:sp macro="" textlink="">
      <xdr:nvSpPr>
        <xdr:cNvPr id="3" name="Textfeld 2"/>
        <xdr:cNvSpPr txBox="1"/>
      </xdr:nvSpPr>
      <xdr:spPr>
        <a:xfrm>
          <a:off x="3027872" y="70132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CCFFCC"/>
  </sheetPr>
  <dimension ref="A1:Q121"/>
  <sheetViews>
    <sheetView showGridLines="0" tabSelected="1" view="pageLayout" zoomScaleNormal="75" workbookViewId="0">
      <selection activeCell="B11" sqref="B11:H11"/>
    </sheetView>
  </sheetViews>
  <sheetFormatPr baseColWidth="10" defaultColWidth="11.33203125" defaultRowHeight="13.2" x14ac:dyDescent="0.25"/>
  <cols>
    <col min="1" max="1" width="1.33203125" style="35" customWidth="1"/>
    <col min="2" max="2" width="33.33203125" style="12" customWidth="1"/>
    <col min="3" max="3" width="11.77734375" style="12" customWidth="1"/>
    <col min="4" max="4" width="11.109375" style="12" customWidth="1"/>
    <col min="5" max="5" width="46.6640625" style="12" customWidth="1"/>
    <col min="6" max="6" width="19.21875" style="12" customWidth="1"/>
    <col min="7" max="7" width="11.109375" style="12" customWidth="1"/>
    <col min="8" max="8" width="22.33203125" style="12" customWidth="1"/>
    <col min="9" max="9" width="4.88671875" customWidth="1"/>
    <col min="10" max="10" width="9.77734375" style="12" customWidth="1"/>
    <col min="11" max="11" width="8.33203125" style="12" customWidth="1"/>
    <col min="12" max="12" width="2.33203125" style="1" customWidth="1"/>
    <col min="13" max="13" width="8.88671875" style="1" customWidth="1"/>
    <col min="14" max="16384" width="11.33203125" style="1"/>
  </cols>
  <sheetData>
    <row r="1" spans="1:14" ht="7.5" customHeight="1" thickBot="1" x14ac:dyDescent="0.35">
      <c r="B1" s="11"/>
      <c r="C1" s="11"/>
      <c r="D1" s="11"/>
      <c r="E1" s="11"/>
      <c r="F1" s="11"/>
      <c r="G1" s="11"/>
      <c r="H1" s="11"/>
      <c r="J1" s="11"/>
      <c r="K1" s="11"/>
      <c r="L1" s="3"/>
      <c r="M1" s="3"/>
      <c r="N1" s="3"/>
    </row>
    <row r="2" spans="1:14" ht="72" customHeight="1" x14ac:dyDescent="0.3">
      <c r="B2" s="435"/>
      <c r="C2" s="578" t="s">
        <v>69</v>
      </c>
      <c r="D2" s="578"/>
      <c r="E2" s="578"/>
      <c r="F2" s="578"/>
      <c r="G2" s="436"/>
      <c r="H2" s="437"/>
      <c r="J2" s="11"/>
      <c r="K2" s="11"/>
      <c r="L2" s="3"/>
      <c r="M2" s="3"/>
      <c r="N2" s="3"/>
    </row>
    <row r="3" spans="1:14" ht="32.549999999999997" customHeight="1" thickBot="1" x14ac:dyDescent="0.35">
      <c r="B3" s="576" t="s">
        <v>353</v>
      </c>
      <c r="C3" s="577"/>
      <c r="D3" s="577"/>
      <c r="E3" s="577"/>
      <c r="F3" s="577"/>
      <c r="G3" s="535"/>
      <c r="H3" s="534" t="str">
        <f>'6.000'!I2</f>
        <v>Vers.01/2018
 (Stand: 07/2018)</v>
      </c>
      <c r="J3" s="11"/>
      <c r="K3" s="11"/>
      <c r="L3" s="3"/>
      <c r="M3" s="3"/>
      <c r="N3" s="3"/>
    </row>
    <row r="4" spans="1:14" s="42" customFormat="1" ht="18.3" customHeight="1" thickBot="1" x14ac:dyDescent="0.3">
      <c r="A4" s="40"/>
      <c r="I4"/>
    </row>
    <row r="5" spans="1:14" s="42" customFormat="1" ht="22.8" x14ac:dyDescent="0.25">
      <c r="A5" s="40"/>
      <c r="B5" s="127" t="s">
        <v>33</v>
      </c>
      <c r="C5" s="128"/>
      <c r="D5" s="128"/>
      <c r="E5" s="128"/>
      <c r="F5" s="128"/>
      <c r="G5" s="128"/>
      <c r="H5" s="129"/>
      <c r="I5"/>
    </row>
    <row r="6" spans="1:14" s="42" customFormat="1" ht="20.399999999999999" x14ac:dyDescent="0.25">
      <c r="A6" s="40"/>
      <c r="B6" s="374" t="s">
        <v>259</v>
      </c>
      <c r="C6" s="375"/>
      <c r="D6" s="375"/>
      <c r="E6" s="375"/>
      <c r="F6" s="147"/>
      <c r="G6" s="375"/>
      <c r="H6" s="376"/>
      <c r="I6"/>
    </row>
    <row r="7" spans="1:14" s="42" customFormat="1" ht="20.399999999999999" x14ac:dyDescent="0.25">
      <c r="A7" s="40"/>
      <c r="B7" s="374" t="s">
        <v>260</v>
      </c>
      <c r="C7" s="375"/>
      <c r="D7" s="375"/>
      <c r="E7" s="375"/>
      <c r="F7" s="147"/>
      <c r="G7" s="375"/>
      <c r="H7" s="376"/>
      <c r="I7"/>
    </row>
    <row r="8" spans="1:14" s="42" customFormat="1" ht="7.5" customHeight="1" x14ac:dyDescent="0.25">
      <c r="A8" s="40"/>
      <c r="B8" s="374"/>
      <c r="C8" s="375"/>
      <c r="D8" s="375"/>
      <c r="E8" s="375"/>
      <c r="F8" s="147"/>
      <c r="G8" s="375"/>
      <c r="H8" s="376"/>
      <c r="I8"/>
    </row>
    <row r="9" spans="1:14" s="42" customFormat="1" ht="21" x14ac:dyDescent="0.25">
      <c r="A9" s="40"/>
      <c r="B9" s="149" t="s">
        <v>262</v>
      </c>
      <c r="C9" s="147"/>
      <c r="D9" s="147"/>
      <c r="E9" s="147"/>
      <c r="F9" s="147"/>
      <c r="G9" s="147"/>
      <c r="H9" s="148"/>
      <c r="I9"/>
    </row>
    <row r="10" spans="1:14" s="42" customFormat="1" ht="63.6" customHeight="1" x14ac:dyDescent="0.25">
      <c r="A10" s="40"/>
      <c r="B10" s="571" t="s">
        <v>348</v>
      </c>
      <c r="C10" s="572"/>
      <c r="D10" s="572"/>
      <c r="E10" s="572"/>
      <c r="F10" s="572"/>
      <c r="G10" s="572"/>
      <c r="H10" s="573"/>
      <c r="I10"/>
    </row>
    <row r="11" spans="1:14" s="42" customFormat="1" ht="20.399999999999999" x14ac:dyDescent="0.25">
      <c r="A11" s="40"/>
      <c r="B11" s="571"/>
      <c r="C11" s="572"/>
      <c r="D11" s="572"/>
      <c r="E11" s="572"/>
      <c r="F11" s="572"/>
      <c r="G11" s="572"/>
      <c r="H11" s="573"/>
      <c r="I11"/>
    </row>
    <row r="12" spans="1:14" s="42" customFormat="1" ht="6.75" customHeight="1" x14ac:dyDescent="0.25">
      <c r="A12" s="40"/>
      <c r="B12" s="374"/>
      <c r="C12" s="448"/>
      <c r="D12" s="448"/>
      <c r="E12" s="448"/>
      <c r="F12" s="448"/>
      <c r="G12" s="448"/>
      <c r="H12" s="449"/>
      <c r="I12"/>
    </row>
    <row r="13" spans="1:14" s="42" customFormat="1" ht="21" x14ac:dyDescent="0.25">
      <c r="A13" s="40"/>
      <c r="B13" s="374" t="s">
        <v>252</v>
      </c>
      <c r="C13" s="448"/>
      <c r="D13" s="448"/>
      <c r="E13" s="448"/>
      <c r="F13" s="448"/>
      <c r="G13" s="448"/>
      <c r="H13" s="449"/>
      <c r="I13"/>
    </row>
    <row r="14" spans="1:14" s="42" customFormat="1" ht="20.399999999999999" x14ac:dyDescent="0.25">
      <c r="A14" s="40"/>
      <c r="B14" s="374" t="s">
        <v>253</v>
      </c>
      <c r="C14" s="448"/>
      <c r="D14" s="448"/>
      <c r="E14" s="448"/>
      <c r="F14" s="448"/>
      <c r="G14" s="448"/>
      <c r="H14" s="449"/>
      <c r="I14"/>
    </row>
    <row r="15" spans="1:14" s="42" customFormat="1" ht="7.5" customHeight="1" x14ac:dyDescent="0.25">
      <c r="A15" s="40"/>
      <c r="B15" s="373"/>
      <c r="C15" s="448"/>
      <c r="D15" s="448"/>
      <c r="E15" s="448"/>
      <c r="F15" s="448"/>
      <c r="G15" s="448"/>
      <c r="H15" s="449"/>
      <c r="I15"/>
    </row>
    <row r="16" spans="1:14" s="42" customFormat="1" ht="20.399999999999999" x14ac:dyDescent="0.25">
      <c r="A16" s="40"/>
      <c r="B16" s="568" t="s">
        <v>202</v>
      </c>
      <c r="C16" s="569"/>
      <c r="D16" s="569"/>
      <c r="E16" s="569"/>
      <c r="F16" s="569"/>
      <c r="G16" s="569"/>
      <c r="H16" s="570"/>
      <c r="I16"/>
      <c r="J16" s="424"/>
      <c r="K16" s="44" t="s">
        <v>268</v>
      </c>
    </row>
    <row r="17" spans="1:14" s="42" customFormat="1" ht="20.399999999999999" x14ac:dyDescent="0.25">
      <c r="A17" s="40"/>
      <c r="B17" s="568" t="s">
        <v>204</v>
      </c>
      <c r="C17" s="569"/>
      <c r="D17" s="569"/>
      <c r="E17" s="569"/>
      <c r="F17" s="569"/>
      <c r="G17" s="569"/>
      <c r="H17" s="570"/>
      <c r="I17"/>
      <c r="J17"/>
      <c r="K17" s="44"/>
    </row>
    <row r="18" spans="1:14" s="42" customFormat="1" ht="20.399999999999999" x14ac:dyDescent="0.25">
      <c r="A18" s="40"/>
      <c r="B18" s="568" t="s">
        <v>205</v>
      </c>
      <c r="C18" s="569"/>
      <c r="D18" s="569"/>
      <c r="E18" s="569"/>
      <c r="F18" s="569"/>
      <c r="G18" s="569"/>
      <c r="H18" s="570"/>
      <c r="I18"/>
      <c r="J18"/>
      <c r="K18" s="44"/>
    </row>
    <row r="19" spans="1:14" s="42" customFormat="1" ht="20.399999999999999" x14ac:dyDescent="0.25">
      <c r="B19" s="377" t="s">
        <v>206</v>
      </c>
      <c r="C19" s="378"/>
      <c r="D19" s="375"/>
      <c r="E19" s="375"/>
      <c r="F19" s="147"/>
      <c r="G19" s="375"/>
      <c r="H19" s="376"/>
      <c r="I19"/>
    </row>
    <row r="20" spans="1:14" s="42" customFormat="1" ht="20.399999999999999" x14ac:dyDescent="0.25">
      <c r="B20" s="377" t="s">
        <v>67</v>
      </c>
      <c r="C20" s="147"/>
      <c r="D20" s="147"/>
      <c r="E20" s="147"/>
      <c r="F20" s="147"/>
      <c r="G20" s="147"/>
      <c r="H20" s="148"/>
      <c r="I20"/>
    </row>
    <row r="21" spans="1:14" s="42" customFormat="1" ht="21" x14ac:dyDescent="0.25">
      <c r="B21" s="149" t="s">
        <v>215</v>
      </c>
      <c r="C21" s="150"/>
      <c r="D21" s="147"/>
      <c r="E21" s="147"/>
      <c r="F21" s="147"/>
      <c r="G21" s="147"/>
      <c r="H21" s="148"/>
      <c r="I21"/>
    </row>
    <row r="22" spans="1:14" s="42" customFormat="1" ht="21" x14ac:dyDescent="0.25">
      <c r="B22" s="149" t="s">
        <v>168</v>
      </c>
      <c r="C22" s="150"/>
      <c r="D22" s="147"/>
      <c r="E22" s="147"/>
      <c r="F22" s="147"/>
      <c r="G22" s="147"/>
      <c r="H22" s="148"/>
      <c r="I22"/>
    </row>
    <row r="23" spans="1:14" s="42" customFormat="1" ht="20.399999999999999" x14ac:dyDescent="0.25">
      <c r="B23" s="377" t="s">
        <v>203</v>
      </c>
      <c r="C23" s="147"/>
      <c r="D23" s="147"/>
      <c r="E23" s="147"/>
      <c r="F23" s="147"/>
      <c r="G23" s="147"/>
      <c r="H23" s="148"/>
      <c r="I23"/>
    </row>
    <row r="24" spans="1:14" s="42" customFormat="1" ht="8.85" customHeight="1" x14ac:dyDescent="0.25">
      <c r="B24" s="377"/>
      <c r="C24" s="147"/>
      <c r="D24" s="147"/>
      <c r="E24" s="147"/>
      <c r="F24" s="147"/>
      <c r="G24" s="147"/>
      <c r="H24" s="148"/>
      <c r="I24"/>
    </row>
    <row r="25" spans="1:14" s="42" customFormat="1" ht="21" x14ac:dyDescent="0.25">
      <c r="A25" s="40"/>
      <c r="B25" s="149" t="s">
        <v>169</v>
      </c>
      <c r="C25" s="147"/>
      <c r="D25" s="147"/>
      <c r="E25" s="147"/>
      <c r="F25" s="147"/>
      <c r="G25" s="147"/>
      <c r="H25" s="148"/>
      <c r="I25"/>
    </row>
    <row r="26" spans="1:14" s="42" customFormat="1" ht="38.1" customHeight="1" x14ac:dyDescent="0.25">
      <c r="A26" s="40"/>
      <c r="B26" s="568" t="s">
        <v>216</v>
      </c>
      <c r="C26" s="569"/>
      <c r="D26" s="569"/>
      <c r="E26" s="569"/>
      <c r="F26" s="569"/>
      <c r="G26" s="569"/>
      <c r="H26" s="570"/>
      <c r="I26"/>
    </row>
    <row r="27" spans="1:14" s="42" customFormat="1" ht="20.399999999999999" x14ac:dyDescent="0.25">
      <c r="A27" s="40"/>
      <c r="B27" s="149" t="s">
        <v>217</v>
      </c>
      <c r="C27" s="147"/>
      <c r="D27" s="147"/>
      <c r="E27" s="147"/>
      <c r="F27" s="147"/>
      <c r="G27" s="147"/>
      <c r="H27" s="148"/>
      <c r="I27"/>
    </row>
    <row r="28" spans="1:14" s="42" customFormat="1" ht="21.15" customHeight="1" x14ac:dyDescent="0.25">
      <c r="A28" s="40"/>
      <c r="B28" s="568" t="s">
        <v>218</v>
      </c>
      <c r="C28" s="569"/>
      <c r="D28" s="569"/>
      <c r="E28" s="569"/>
      <c r="F28" s="569"/>
      <c r="G28" s="569"/>
      <c r="H28" s="570"/>
      <c r="I28"/>
    </row>
    <row r="29" spans="1:14" s="42" customFormat="1" ht="20.399999999999999" x14ac:dyDescent="0.25">
      <c r="A29" s="40"/>
      <c r="B29" s="149" t="s">
        <v>70</v>
      </c>
      <c r="C29" s="147"/>
      <c r="D29" s="147"/>
      <c r="E29" s="147"/>
      <c r="F29" s="147"/>
      <c r="G29" s="147"/>
      <c r="H29" s="148"/>
      <c r="I29"/>
    </row>
    <row r="30" spans="1:14" s="42" customFormat="1" ht="9.6" customHeight="1" x14ac:dyDescent="0.25">
      <c r="A30" s="40"/>
      <c r="B30" s="373"/>
      <c r="C30" s="147"/>
      <c r="D30" s="147"/>
      <c r="E30" s="147"/>
      <c r="F30" s="147"/>
      <c r="G30" s="147"/>
      <c r="H30" s="148"/>
      <c r="I30"/>
    </row>
    <row r="31" spans="1:14" s="42" customFormat="1" ht="34.049999999999997" customHeight="1" x14ac:dyDescent="0.25">
      <c r="A31" s="40"/>
      <c r="B31" s="568" t="s">
        <v>167</v>
      </c>
      <c r="C31" s="569"/>
      <c r="D31" s="569"/>
      <c r="E31" s="569"/>
      <c r="F31" s="569"/>
      <c r="G31" s="569"/>
      <c r="H31" s="570"/>
      <c r="I31"/>
    </row>
    <row r="32" spans="1:14" s="42" customFormat="1" ht="23.85" customHeight="1" x14ac:dyDescent="0.25">
      <c r="A32" s="40"/>
      <c r="B32" s="130" t="s">
        <v>189</v>
      </c>
      <c r="C32" s="125"/>
      <c r="D32" s="125"/>
      <c r="E32" s="125"/>
      <c r="F32" s="125"/>
      <c r="G32" s="126"/>
      <c r="H32" s="131"/>
      <c r="I32"/>
      <c r="K32" s="567" t="s">
        <v>267</v>
      </c>
      <c r="L32" s="567"/>
      <c r="M32" s="567"/>
      <c r="N32" s="567"/>
    </row>
    <row r="33" spans="1:14" s="42" customFormat="1" ht="27.15" hidden="1" customHeight="1" x14ac:dyDescent="0.25">
      <c r="A33" s="40"/>
      <c r="B33" s="151" t="s">
        <v>34</v>
      </c>
      <c r="C33" s="152"/>
      <c r="D33" s="152"/>
      <c r="E33" s="152"/>
      <c r="F33" s="152"/>
      <c r="G33" s="153"/>
      <c r="H33" s="154"/>
      <c r="I33"/>
      <c r="K33" s="567"/>
      <c r="L33" s="567"/>
      <c r="M33" s="567"/>
      <c r="N33" s="567"/>
    </row>
    <row r="34" spans="1:14" s="42" customFormat="1" ht="21.15" hidden="1" customHeight="1" x14ac:dyDescent="0.25">
      <c r="A34" s="40"/>
      <c r="B34" s="155" t="s">
        <v>53</v>
      </c>
      <c r="C34" s="156"/>
      <c r="D34" s="156"/>
      <c r="E34" s="156"/>
      <c r="F34" s="156"/>
      <c r="G34" s="582" t="s">
        <v>66</v>
      </c>
      <c r="H34" s="583"/>
      <c r="I34"/>
      <c r="K34" s="567"/>
      <c r="L34" s="567"/>
      <c r="M34" s="567"/>
      <c r="N34" s="567"/>
    </row>
    <row r="35" spans="1:14" s="42" customFormat="1" ht="31.2" hidden="1" customHeight="1" x14ac:dyDescent="0.25">
      <c r="A35" s="40"/>
      <c r="B35" s="155" t="s">
        <v>39</v>
      </c>
      <c r="C35" s="156"/>
      <c r="D35" s="156"/>
      <c r="E35" s="156"/>
      <c r="F35" s="156"/>
      <c r="G35" s="582" t="s">
        <v>40</v>
      </c>
      <c r="H35" s="583"/>
      <c r="I35"/>
      <c r="K35" s="567"/>
      <c r="L35" s="567"/>
      <c r="M35" s="567"/>
      <c r="N35" s="567"/>
    </row>
    <row r="36" spans="1:14" s="42" customFormat="1" ht="28.5" customHeight="1" x14ac:dyDescent="0.25">
      <c r="A36" s="40"/>
      <c r="B36" s="451" t="s">
        <v>257</v>
      </c>
      <c r="C36" s="452" t="s">
        <v>264</v>
      </c>
      <c r="D36" s="452"/>
      <c r="E36" s="452"/>
      <c r="F36" s="452"/>
      <c r="G36" s="588" t="s">
        <v>181</v>
      </c>
      <c r="H36" s="589"/>
      <c r="I36"/>
      <c r="K36" s="567"/>
      <c r="L36" s="567"/>
      <c r="M36" s="567"/>
      <c r="N36" s="567"/>
    </row>
    <row r="37" spans="1:14" s="42" customFormat="1" ht="28.5" customHeight="1" x14ac:dyDescent="0.25">
      <c r="A37" s="40"/>
      <c r="B37" s="451"/>
      <c r="C37" s="452" t="s">
        <v>263</v>
      </c>
      <c r="D37" s="452"/>
      <c r="E37" s="452"/>
      <c r="F37" s="452"/>
      <c r="G37" s="590" t="s">
        <v>254</v>
      </c>
      <c r="H37" s="591"/>
      <c r="I37"/>
      <c r="K37" s="567"/>
      <c r="L37" s="567"/>
      <c r="M37" s="567"/>
      <c r="N37" s="567"/>
    </row>
    <row r="38" spans="1:14" s="42" customFormat="1" ht="28.5" customHeight="1" thickBot="1" x14ac:dyDescent="0.3">
      <c r="A38" s="40"/>
      <c r="B38" s="453"/>
      <c r="C38" s="454" t="s">
        <v>265</v>
      </c>
      <c r="D38" s="454"/>
      <c r="E38" s="454"/>
      <c r="F38" s="454"/>
      <c r="G38" s="574" t="s">
        <v>182</v>
      </c>
      <c r="H38" s="575"/>
      <c r="I38"/>
    </row>
    <row r="39" spans="1:14" s="42" customFormat="1" ht="28.5" customHeight="1" x14ac:dyDescent="0.25">
      <c r="A39" s="40"/>
      <c r="B39" s="451" t="s">
        <v>258</v>
      </c>
      <c r="C39" s="452" t="s">
        <v>264</v>
      </c>
      <c r="D39" s="452"/>
      <c r="E39" s="452"/>
      <c r="F39" s="452"/>
      <c r="G39" s="584" t="s">
        <v>186</v>
      </c>
      <c r="H39" s="585"/>
      <c r="I39"/>
    </row>
    <row r="40" spans="1:14" s="42" customFormat="1" ht="28.5" customHeight="1" x14ac:dyDescent="0.25">
      <c r="A40" s="40"/>
      <c r="B40" s="451"/>
      <c r="C40" s="452" t="s">
        <v>266</v>
      </c>
      <c r="D40" s="452"/>
      <c r="E40" s="452"/>
      <c r="F40" s="452"/>
      <c r="G40" s="579" t="s">
        <v>255</v>
      </c>
      <c r="H40" s="580"/>
      <c r="I40"/>
    </row>
    <row r="41" spans="1:14" s="42" customFormat="1" ht="28.5" customHeight="1" thickBot="1" x14ac:dyDescent="0.3">
      <c r="A41" s="40"/>
      <c r="B41" s="453"/>
      <c r="C41" s="454" t="s">
        <v>265</v>
      </c>
      <c r="D41" s="454"/>
      <c r="E41" s="454"/>
      <c r="F41" s="454"/>
      <c r="G41" s="574" t="s">
        <v>183</v>
      </c>
      <c r="H41" s="575"/>
      <c r="I41"/>
    </row>
    <row r="42" spans="1:14" s="42" customFormat="1" ht="29.85" customHeight="1" x14ac:dyDescent="0.25">
      <c r="A42" s="40"/>
      <c r="B42" s="451" t="s">
        <v>190</v>
      </c>
      <c r="C42" s="452" t="s">
        <v>264</v>
      </c>
      <c r="D42" s="452"/>
      <c r="E42" s="452"/>
      <c r="F42" s="452"/>
      <c r="G42" s="584" t="s">
        <v>184</v>
      </c>
      <c r="H42" s="585"/>
      <c r="I42"/>
    </row>
    <row r="43" spans="1:14" s="42" customFormat="1" ht="29.85" customHeight="1" x14ac:dyDescent="0.25">
      <c r="A43" s="40"/>
      <c r="B43" s="451"/>
      <c r="C43" s="452" t="s">
        <v>266</v>
      </c>
      <c r="D43" s="452"/>
      <c r="E43" s="452"/>
      <c r="F43" s="452"/>
      <c r="G43" s="579" t="s">
        <v>256</v>
      </c>
      <c r="H43" s="580"/>
      <c r="I43"/>
    </row>
    <row r="44" spans="1:14" s="42" customFormat="1" ht="30.6" customHeight="1" thickBot="1" x14ac:dyDescent="0.3">
      <c r="A44" s="40"/>
      <c r="B44" s="455"/>
      <c r="C44" s="454" t="s">
        <v>265</v>
      </c>
      <c r="D44" s="454"/>
      <c r="E44" s="454"/>
      <c r="F44" s="454"/>
      <c r="G44" s="574" t="s">
        <v>185</v>
      </c>
      <c r="H44" s="575"/>
      <c r="I44"/>
    </row>
    <row r="45" spans="1:14" s="42" customFormat="1" ht="25.2" hidden="1" customHeight="1" thickBot="1" x14ac:dyDescent="0.3">
      <c r="A45" s="40"/>
      <c r="B45" s="157" t="s">
        <v>35</v>
      </c>
      <c r="C45" s="158"/>
      <c r="D45" s="158"/>
      <c r="E45" s="158"/>
      <c r="F45" s="158"/>
      <c r="G45" s="586" t="s">
        <v>114</v>
      </c>
      <c r="H45" s="587"/>
      <c r="I45"/>
    </row>
    <row r="46" spans="1:14" ht="31.95" customHeight="1" x14ac:dyDescent="0.3">
      <c r="B46" s="39" t="s">
        <v>346</v>
      </c>
      <c r="C46" s="41"/>
      <c r="D46" s="41"/>
      <c r="E46" s="42"/>
      <c r="F46" s="42"/>
      <c r="G46" s="42"/>
      <c r="H46" s="93"/>
      <c r="J46" s="1"/>
      <c r="K46" s="1"/>
    </row>
    <row r="47" spans="1:14" ht="83.55" customHeight="1" x14ac:dyDescent="0.25">
      <c r="B47" s="581" t="s">
        <v>347</v>
      </c>
      <c r="C47" s="581"/>
      <c r="D47" s="581"/>
      <c r="E47" s="581"/>
      <c r="F47" s="581"/>
      <c r="G47" s="581"/>
      <c r="H47" s="581"/>
      <c r="J47" s="1"/>
      <c r="K47" s="1"/>
    </row>
    <row r="48" spans="1:14" ht="23.1" customHeight="1" x14ac:dyDescent="0.25">
      <c r="B48" s="196"/>
      <c r="C48" s="1"/>
      <c r="D48" s="1"/>
      <c r="E48" s="1"/>
      <c r="F48" s="1"/>
      <c r="G48" s="1"/>
      <c r="H48" s="1"/>
      <c r="J48" s="1"/>
      <c r="K48" s="1"/>
    </row>
    <row r="49" spans="2:17" ht="23.1" customHeight="1" x14ac:dyDescent="0.25">
      <c r="B49" s="1"/>
      <c r="C49" s="1"/>
      <c r="D49" s="1"/>
      <c r="E49" s="1"/>
      <c r="F49" s="1"/>
      <c r="G49"/>
      <c r="H49"/>
      <c r="J49"/>
      <c r="K49"/>
      <c r="L49"/>
      <c r="M49"/>
      <c r="N49"/>
      <c r="O49"/>
      <c r="P49"/>
      <c r="Q49"/>
    </row>
    <row r="50" spans="2:17" ht="23.1" customHeight="1" x14ac:dyDescent="0.25">
      <c r="B50" s="1"/>
      <c r="C50" s="1"/>
      <c r="D50" s="1"/>
      <c r="E50" s="1"/>
      <c r="F50" s="1"/>
      <c r="G50" s="1"/>
      <c r="H50" s="1"/>
      <c r="J50" s="1"/>
      <c r="K50" s="1"/>
    </row>
    <row r="51" spans="2:17" ht="23.1" customHeight="1" x14ac:dyDescent="0.25">
      <c r="B51" s="1"/>
      <c r="C51" s="1"/>
      <c r="D51" s="1"/>
      <c r="E51" s="1"/>
      <c r="F51" s="1"/>
      <c r="G51" s="1"/>
      <c r="H51" s="1"/>
      <c r="J51" s="1"/>
      <c r="K51" s="1"/>
    </row>
    <row r="52" spans="2:17" ht="23.1" customHeight="1" x14ac:dyDescent="0.25">
      <c r="B52" s="1"/>
      <c r="C52" s="1"/>
      <c r="D52" s="1"/>
      <c r="E52" s="1"/>
      <c r="F52" s="1"/>
      <c r="G52" s="1"/>
      <c r="H52" s="1"/>
      <c r="J52" s="1"/>
      <c r="K52" s="1"/>
    </row>
    <row r="53" spans="2:17" ht="23.1" customHeight="1" x14ac:dyDescent="0.25">
      <c r="B53"/>
      <c r="C53"/>
      <c r="D53"/>
      <c r="E53"/>
      <c r="F53"/>
      <c r="G53"/>
      <c r="H53"/>
      <c r="J53"/>
      <c r="K53"/>
    </row>
    <row r="54" spans="2:17" ht="23.1" customHeight="1" x14ac:dyDescent="0.25">
      <c r="B54"/>
      <c r="C54"/>
      <c r="D54"/>
      <c r="E54"/>
      <c r="F54"/>
      <c r="G54"/>
      <c r="H54"/>
      <c r="J54"/>
      <c r="K54"/>
    </row>
    <row r="55" spans="2:17" ht="23.1" customHeight="1" x14ac:dyDescent="0.25">
      <c r="B55"/>
      <c r="C55"/>
      <c r="D55"/>
      <c r="E55"/>
      <c r="F55"/>
      <c r="G55"/>
      <c r="H55"/>
      <c r="J55"/>
      <c r="K55"/>
    </row>
    <row r="56" spans="2:17" ht="23.1" customHeight="1" x14ac:dyDescent="0.25">
      <c r="B56"/>
      <c r="C56"/>
      <c r="D56"/>
      <c r="E56"/>
      <c r="F56"/>
      <c r="G56"/>
      <c r="H56"/>
      <c r="J56"/>
      <c r="K56"/>
    </row>
    <row r="57" spans="2:17" ht="31.65" customHeight="1" x14ac:dyDescent="0.25">
      <c r="B57"/>
      <c r="C57"/>
      <c r="D57"/>
      <c r="E57"/>
      <c r="F57"/>
      <c r="G57"/>
      <c r="H57"/>
      <c r="J57"/>
      <c r="K57"/>
    </row>
    <row r="58" spans="2:17" ht="23.1" customHeight="1" x14ac:dyDescent="0.25">
      <c r="B58"/>
      <c r="C58"/>
      <c r="D58"/>
      <c r="E58"/>
      <c r="F58"/>
      <c r="G58"/>
      <c r="H58"/>
      <c r="J58"/>
      <c r="K58"/>
    </row>
    <row r="59" spans="2:17" ht="23.1" customHeight="1" x14ac:dyDescent="0.25">
      <c r="B59"/>
      <c r="C59"/>
      <c r="D59"/>
      <c r="E59"/>
      <c r="F59"/>
      <c r="G59"/>
      <c r="H59"/>
      <c r="J59"/>
      <c r="K59"/>
    </row>
    <row r="60" spans="2:17" ht="27.75" customHeight="1" x14ac:dyDescent="0.25">
      <c r="B60"/>
      <c r="C60"/>
      <c r="D60"/>
      <c r="E60"/>
      <c r="F60"/>
      <c r="G60"/>
      <c r="H60"/>
      <c r="J60"/>
      <c r="K60"/>
    </row>
    <row r="61" spans="2:17" ht="26.4" customHeight="1" x14ac:dyDescent="0.25">
      <c r="B61"/>
      <c r="C61"/>
      <c r="D61"/>
      <c r="E61"/>
      <c r="F61"/>
      <c r="G61"/>
      <c r="H61"/>
      <c r="J61"/>
      <c r="K61"/>
    </row>
    <row r="62" spans="2:17" ht="24.75" customHeight="1" x14ac:dyDescent="0.25">
      <c r="B62"/>
      <c r="C62"/>
      <c r="D62"/>
      <c r="E62"/>
      <c r="F62"/>
      <c r="G62"/>
      <c r="H62"/>
      <c r="J62"/>
      <c r="K62"/>
    </row>
    <row r="63" spans="2:17" ht="39.15" customHeight="1" x14ac:dyDescent="0.25">
      <c r="B63"/>
      <c r="C63"/>
      <c r="D63"/>
      <c r="E63"/>
      <c r="F63"/>
      <c r="G63"/>
      <c r="H63"/>
      <c r="J63"/>
      <c r="K63"/>
    </row>
    <row r="64" spans="2:17" ht="38.25" customHeight="1" x14ac:dyDescent="0.25">
      <c r="B64"/>
      <c r="C64"/>
      <c r="D64"/>
      <c r="E64"/>
      <c r="F64"/>
      <c r="G64"/>
      <c r="H64"/>
      <c r="J64"/>
      <c r="K64"/>
    </row>
    <row r="65" spans="2:15" ht="31.65" customHeight="1" x14ac:dyDescent="0.25">
      <c r="B65"/>
      <c r="C65"/>
      <c r="D65"/>
      <c r="E65"/>
      <c r="F65"/>
      <c r="G65"/>
      <c r="H65"/>
      <c r="J65"/>
      <c r="K65"/>
    </row>
    <row r="66" spans="2:15" ht="23.1" customHeight="1" x14ac:dyDescent="0.25">
      <c r="B66"/>
      <c r="C66"/>
      <c r="D66"/>
      <c r="E66"/>
      <c r="F66"/>
      <c r="G66"/>
      <c r="H66"/>
      <c r="J66"/>
      <c r="K66"/>
    </row>
    <row r="67" spans="2:15" ht="52.5" customHeight="1" x14ac:dyDescent="0.25">
      <c r="B67"/>
      <c r="C67"/>
      <c r="D67"/>
      <c r="E67"/>
      <c r="F67"/>
      <c r="G67"/>
      <c r="H67"/>
      <c r="J67"/>
      <c r="K67"/>
    </row>
    <row r="68" spans="2:15" ht="23.1" customHeight="1" x14ac:dyDescent="0.25">
      <c r="B68"/>
      <c r="C68"/>
      <c r="D68"/>
      <c r="E68"/>
      <c r="F68"/>
      <c r="G68"/>
      <c r="H68"/>
      <c r="J68"/>
      <c r="K68"/>
    </row>
    <row r="69" spans="2:15" ht="23.1" customHeight="1" x14ac:dyDescent="0.25">
      <c r="B69"/>
      <c r="C69"/>
      <c r="D69"/>
      <c r="E69"/>
      <c r="F69"/>
      <c r="G69"/>
      <c r="H69"/>
      <c r="J69"/>
      <c r="K69"/>
    </row>
    <row r="70" spans="2:15" ht="23.1" customHeight="1" x14ac:dyDescent="0.25">
      <c r="B70"/>
      <c r="C70"/>
      <c r="D70"/>
      <c r="E70"/>
      <c r="F70"/>
      <c r="G70"/>
      <c r="H70"/>
      <c r="J70"/>
      <c r="K70"/>
    </row>
    <row r="71" spans="2:15" ht="23.1" customHeight="1" x14ac:dyDescent="0.25">
      <c r="B71"/>
      <c r="C71"/>
      <c r="D71"/>
      <c r="E71"/>
      <c r="F71"/>
      <c r="G71"/>
      <c r="H71"/>
      <c r="J71"/>
      <c r="K71"/>
    </row>
    <row r="72" spans="2:15" ht="23.1" customHeight="1" x14ac:dyDescent="0.25">
      <c r="B72"/>
      <c r="C72"/>
      <c r="D72"/>
      <c r="E72"/>
      <c r="F72"/>
      <c r="G72"/>
      <c r="H72"/>
      <c r="J72"/>
      <c r="K72"/>
    </row>
    <row r="73" spans="2:15" ht="23.1" customHeight="1" x14ac:dyDescent="0.3">
      <c r="B73" s="8"/>
      <c r="C73" s="9"/>
      <c r="D73" s="10"/>
      <c r="E73"/>
      <c r="F73"/>
      <c r="G73"/>
      <c r="H73"/>
      <c r="J73"/>
      <c r="K73"/>
    </row>
    <row r="74" spans="2:15" ht="31.65" customHeight="1" x14ac:dyDescent="0.25">
      <c r="B74"/>
      <c r="C74"/>
      <c r="D74"/>
      <c r="E74"/>
      <c r="F74"/>
      <c r="G74"/>
      <c r="H74"/>
      <c r="J74"/>
      <c r="K74"/>
    </row>
    <row r="75" spans="2:15" ht="22.65" customHeight="1" x14ac:dyDescent="0.25">
      <c r="B75"/>
      <c r="C75"/>
      <c r="D75"/>
      <c r="E75"/>
      <c r="F75"/>
      <c r="G75"/>
      <c r="H75"/>
      <c r="J75"/>
      <c r="K75"/>
    </row>
    <row r="76" spans="2:15" ht="22.65" customHeight="1" x14ac:dyDescent="0.25">
      <c r="B76" s="1"/>
      <c r="C76"/>
      <c r="D76"/>
      <c r="E76"/>
      <c r="F76"/>
      <c r="G76"/>
      <c r="H76"/>
      <c r="J76"/>
      <c r="K76"/>
    </row>
    <row r="77" spans="2:15" ht="22.65" customHeight="1" x14ac:dyDescent="0.25">
      <c r="B77" s="1"/>
      <c r="C77" s="1"/>
      <c r="D77"/>
      <c r="E77"/>
      <c r="F77"/>
      <c r="G77"/>
      <c r="H77"/>
      <c r="J77"/>
      <c r="K77"/>
    </row>
    <row r="78" spans="2:15" ht="22.65" customHeight="1" x14ac:dyDescent="0.25">
      <c r="B78" s="5"/>
      <c r="C78" s="5"/>
      <c r="D78" s="5"/>
      <c r="E78" s="5"/>
      <c r="F78" s="5"/>
      <c r="G78" s="5"/>
      <c r="H78" s="5"/>
      <c r="J78" s="5"/>
      <c r="K78" s="4"/>
      <c r="L78" s="4"/>
      <c r="M78" s="4"/>
      <c r="N78" s="4"/>
      <c r="O78" s="4"/>
    </row>
    <row r="79" spans="2:15" ht="22.65" customHeight="1" x14ac:dyDescent="0.25">
      <c r="B79" s="5"/>
      <c r="C79" s="5"/>
      <c r="D79" s="5"/>
      <c r="E79" s="5"/>
      <c r="F79" s="5"/>
      <c r="G79" s="6"/>
      <c r="H79" s="5"/>
      <c r="J79" s="6"/>
      <c r="K79" s="4"/>
      <c r="L79" s="4"/>
      <c r="M79" s="4"/>
      <c r="N79" s="4"/>
      <c r="O79" s="4"/>
    </row>
    <row r="80" spans="2:15" ht="23.1" customHeight="1" x14ac:dyDescent="0.25">
      <c r="B80" s="5"/>
      <c r="C80" s="5"/>
      <c r="D80" s="5"/>
      <c r="E80" s="5"/>
      <c r="F80" s="5"/>
      <c r="G80" s="6"/>
      <c r="H80" s="5"/>
      <c r="J80" s="6"/>
      <c r="K80" s="4"/>
      <c r="L80" s="4"/>
      <c r="M80" s="4"/>
      <c r="N80" s="4"/>
      <c r="O80" s="4"/>
    </row>
    <row r="81" spans="2:15" ht="23.1" customHeight="1" x14ac:dyDescent="0.25">
      <c r="B81" s="5"/>
      <c r="C81" s="5"/>
      <c r="D81" s="5"/>
      <c r="E81" s="5"/>
      <c r="F81" s="5"/>
      <c r="G81" s="6"/>
      <c r="H81" s="5"/>
      <c r="J81" s="6"/>
      <c r="K81" s="4"/>
      <c r="L81" s="4"/>
      <c r="M81" s="4"/>
      <c r="N81" s="4"/>
      <c r="O81" s="4"/>
    </row>
    <row r="82" spans="2:15" ht="23.1" customHeight="1" x14ac:dyDescent="0.25">
      <c r="B82" s="5"/>
      <c r="C82" s="5"/>
      <c r="D82" s="5"/>
      <c r="E82" s="5"/>
      <c r="F82" s="5"/>
      <c r="G82" s="6"/>
      <c r="H82" s="5"/>
      <c r="J82" s="6"/>
      <c r="K82" s="4"/>
      <c r="L82" s="4"/>
      <c r="M82" s="4"/>
      <c r="N82" s="4"/>
      <c r="O82" s="4"/>
    </row>
    <row r="83" spans="2:15" ht="23.1" customHeight="1" x14ac:dyDescent="0.25">
      <c r="B83" s="5"/>
      <c r="C83" s="5"/>
      <c r="D83" s="5"/>
      <c r="E83" s="5"/>
      <c r="F83" s="5"/>
      <c r="G83" s="6"/>
      <c r="H83" s="5"/>
      <c r="J83" s="6"/>
      <c r="K83" s="4"/>
      <c r="L83" s="4"/>
      <c r="M83" s="4"/>
      <c r="N83" s="4"/>
      <c r="O83" s="4"/>
    </row>
    <row r="84" spans="2:15" ht="23.1" customHeight="1" x14ac:dyDescent="0.25">
      <c r="B84" s="5"/>
      <c r="C84" s="5"/>
      <c r="D84" s="5"/>
      <c r="E84" s="5"/>
      <c r="F84" s="5"/>
      <c r="G84" s="6"/>
      <c r="H84" s="5"/>
      <c r="J84" s="6"/>
      <c r="K84" s="4"/>
      <c r="L84" s="4"/>
      <c r="M84" s="4"/>
      <c r="N84" s="4"/>
      <c r="O84" s="4"/>
    </row>
    <row r="85" spans="2:15" ht="23.1" customHeight="1" x14ac:dyDescent="0.25">
      <c r="B85" s="5"/>
      <c r="C85" s="5"/>
      <c r="D85" s="5"/>
      <c r="E85" s="5"/>
      <c r="F85" s="5"/>
      <c r="G85" s="6"/>
      <c r="H85" s="5"/>
      <c r="J85" s="6"/>
      <c r="K85" s="4"/>
      <c r="L85" s="4"/>
      <c r="M85" s="4"/>
      <c r="N85" s="4"/>
      <c r="O85" s="4"/>
    </row>
    <row r="86" spans="2:15" ht="23.1" customHeight="1" x14ac:dyDescent="0.25">
      <c r="B86" s="5"/>
      <c r="C86" s="5"/>
      <c r="D86" s="5"/>
      <c r="E86" s="5"/>
      <c r="F86" s="5"/>
      <c r="G86" s="6"/>
      <c r="H86" s="5"/>
      <c r="J86" s="6"/>
      <c r="K86" s="4"/>
      <c r="L86" s="4"/>
      <c r="M86" s="4"/>
      <c r="N86" s="4"/>
      <c r="O86" s="4"/>
    </row>
    <row r="87" spans="2:15" ht="23.1" customHeight="1" x14ac:dyDescent="0.25">
      <c r="B87" s="5"/>
      <c r="C87" s="5"/>
      <c r="D87" s="5"/>
      <c r="E87" s="5"/>
      <c r="F87" s="5"/>
      <c r="G87" s="6"/>
      <c r="H87" s="5"/>
      <c r="J87" s="6"/>
      <c r="K87" s="4"/>
      <c r="L87" s="4"/>
      <c r="M87" s="4"/>
      <c r="N87" s="4"/>
      <c r="O87" s="4"/>
    </row>
    <row r="88" spans="2:15" ht="23.1" customHeight="1" x14ac:dyDescent="0.25">
      <c r="B88" s="5"/>
      <c r="C88" s="5"/>
      <c r="D88" s="5"/>
      <c r="E88" s="5"/>
      <c r="F88" s="5"/>
      <c r="G88" s="6"/>
      <c r="H88" s="5"/>
      <c r="J88" s="6"/>
      <c r="K88" s="4"/>
      <c r="L88" s="4"/>
      <c r="M88" s="4"/>
      <c r="N88" s="4"/>
      <c r="O88" s="4"/>
    </row>
    <row r="89" spans="2:15" ht="23.1" customHeight="1" x14ac:dyDescent="0.25">
      <c r="B89" s="5"/>
      <c r="C89" s="7"/>
      <c r="D89" s="5"/>
      <c r="E89" s="5"/>
      <c r="F89" s="5"/>
      <c r="G89" s="6"/>
      <c r="H89" s="5"/>
      <c r="J89" s="6"/>
      <c r="K89" s="4"/>
      <c r="L89" s="4"/>
      <c r="M89" s="4"/>
      <c r="N89" s="4"/>
      <c r="O89" s="4"/>
    </row>
    <row r="90" spans="2:15" ht="23.1" customHeight="1" x14ac:dyDescent="0.25">
      <c r="B90" s="5"/>
      <c r="C90" s="7"/>
      <c r="D90" s="5"/>
      <c r="E90" s="5"/>
      <c r="F90" s="5"/>
      <c r="G90" s="6"/>
      <c r="H90" s="5"/>
      <c r="J90" s="6"/>
      <c r="K90" s="4"/>
      <c r="L90" s="4"/>
      <c r="M90" s="4"/>
      <c r="N90" s="4"/>
      <c r="O90" s="4"/>
    </row>
    <row r="91" spans="2:15" ht="30.75" customHeight="1" x14ac:dyDescent="0.25">
      <c r="B91" s="5"/>
      <c r="C91" s="7"/>
      <c r="D91" s="5"/>
      <c r="E91" s="5"/>
      <c r="F91" s="5"/>
      <c r="G91" s="6"/>
      <c r="H91" s="5"/>
      <c r="J91" s="6"/>
      <c r="K91" s="4"/>
      <c r="L91" s="4"/>
      <c r="M91" s="4"/>
      <c r="N91" s="4"/>
      <c r="O91" s="4"/>
    </row>
    <row r="92" spans="2:15" ht="23.1" customHeight="1" x14ac:dyDescent="0.25">
      <c r="B92" s="20"/>
      <c r="C92" s="21"/>
      <c r="D92" s="22"/>
      <c r="E92" s="23"/>
      <c r="F92" s="24"/>
      <c r="G92" s="6"/>
      <c r="H92" s="5"/>
      <c r="J92" s="6"/>
      <c r="K92" s="4"/>
      <c r="L92" s="4"/>
      <c r="M92" s="4"/>
      <c r="N92" s="4"/>
      <c r="O92" s="4"/>
    </row>
    <row r="93" spans="2:15" ht="23.1" customHeight="1" x14ac:dyDescent="0.25">
      <c r="B93" s="5"/>
      <c r="C93" s="7"/>
      <c r="D93" s="5"/>
      <c r="E93" s="5"/>
      <c r="F93" s="5"/>
      <c r="G93" s="6"/>
      <c r="H93" s="5"/>
      <c r="J93" s="6"/>
      <c r="K93" s="4"/>
      <c r="L93" s="4"/>
      <c r="M93" s="4"/>
      <c r="N93" s="4"/>
      <c r="O93" s="4"/>
    </row>
    <row r="94" spans="2:15" ht="23.1" customHeight="1" x14ac:dyDescent="0.25">
      <c r="B94" s="5"/>
      <c r="C94" s="7"/>
      <c r="D94" s="5"/>
      <c r="E94" s="5"/>
      <c r="F94" s="5"/>
      <c r="G94" s="6"/>
      <c r="H94" s="5"/>
      <c r="J94" s="6"/>
      <c r="K94" s="4"/>
      <c r="L94" s="4"/>
      <c r="M94" s="4"/>
      <c r="N94" s="4"/>
      <c r="O94" s="4"/>
    </row>
    <row r="95" spans="2:15" ht="23.1" customHeight="1" x14ac:dyDescent="0.25">
      <c r="B95" s="5"/>
      <c r="C95" s="7"/>
      <c r="D95" s="5"/>
      <c r="E95" s="5"/>
      <c r="F95" s="5"/>
      <c r="G95" s="6"/>
      <c r="H95" s="5"/>
      <c r="J95" s="6"/>
      <c r="K95" s="4"/>
      <c r="L95" s="4"/>
      <c r="M95" s="4"/>
      <c r="N95" s="4"/>
      <c r="O95" s="4"/>
    </row>
    <row r="96" spans="2:15" ht="23.1" customHeight="1" x14ac:dyDescent="0.25">
      <c r="B96" s="5"/>
      <c r="C96" s="7"/>
      <c r="D96" s="5"/>
      <c r="E96" s="5"/>
      <c r="F96" s="5"/>
      <c r="G96" s="6"/>
      <c r="H96" s="5"/>
      <c r="J96" s="6"/>
      <c r="K96" s="4"/>
      <c r="L96" s="4"/>
      <c r="M96" s="4"/>
      <c r="N96" s="4"/>
      <c r="O96" s="4"/>
    </row>
    <row r="97" spans="2:15" ht="23.1" customHeight="1" x14ac:dyDescent="0.25">
      <c r="B97" s="4"/>
      <c r="C97" s="4"/>
      <c r="D97" s="4"/>
      <c r="E97" s="4"/>
      <c r="F97" s="4"/>
      <c r="G97" s="4"/>
      <c r="H97" s="4"/>
      <c r="J97" s="4"/>
      <c r="K97" s="4"/>
      <c r="L97" s="4"/>
      <c r="M97" s="4"/>
      <c r="N97" s="4"/>
      <c r="O97" s="4"/>
    </row>
    <row r="98" spans="2:15" ht="23.1" customHeight="1" x14ac:dyDescent="0.25">
      <c r="B98" s="4"/>
      <c r="C98" s="4"/>
      <c r="D98" s="4"/>
      <c r="E98" s="4"/>
      <c r="F98" s="4"/>
      <c r="G98" s="4"/>
      <c r="H98" s="4"/>
      <c r="J98" s="4"/>
      <c r="K98" s="4"/>
      <c r="L98" s="4"/>
      <c r="M98" s="4"/>
      <c r="N98" s="4"/>
      <c r="O98" s="4"/>
    </row>
    <row r="99" spans="2:15" ht="23.1" customHeight="1" x14ac:dyDescent="0.25">
      <c r="B99" s="1"/>
      <c r="C99" s="1"/>
      <c r="D99" s="1"/>
      <c r="E99" s="1"/>
      <c r="F99" s="1"/>
      <c r="G99" s="1"/>
      <c r="H99" s="1"/>
      <c r="J99" s="1"/>
      <c r="K99" s="1"/>
    </row>
    <row r="100" spans="2:15" ht="23.1" customHeight="1" x14ac:dyDescent="0.25">
      <c r="B100" s="1"/>
      <c r="C100" s="1"/>
      <c r="D100" s="1"/>
      <c r="E100" s="1"/>
      <c r="F100" s="1"/>
      <c r="G100" s="1"/>
      <c r="H100" s="1"/>
      <c r="J100" s="1"/>
      <c r="K100" s="1"/>
    </row>
    <row r="101" spans="2:15" ht="23.1" customHeight="1" x14ac:dyDescent="0.25">
      <c r="B101" s="1"/>
      <c r="C101" s="1"/>
      <c r="D101" s="1"/>
      <c r="E101" s="1"/>
      <c r="F101" s="1"/>
      <c r="G101" s="1"/>
      <c r="H101" s="1"/>
      <c r="J101" s="1"/>
      <c r="K101" s="1"/>
    </row>
    <row r="102" spans="2:15" ht="23.1" customHeight="1" x14ac:dyDescent="0.25">
      <c r="B102" s="1"/>
      <c r="C102" s="1"/>
      <c r="D102" s="1"/>
      <c r="E102" s="1"/>
      <c r="F102" s="1"/>
      <c r="G102" s="1"/>
      <c r="H102" s="1"/>
      <c r="J102" s="1"/>
      <c r="K102" s="1"/>
    </row>
    <row r="103" spans="2:15" ht="23.1" customHeight="1" x14ac:dyDescent="0.25">
      <c r="B103" s="1"/>
      <c r="C103" s="1"/>
      <c r="D103" s="1"/>
      <c r="E103" s="1"/>
      <c r="F103" s="1"/>
      <c r="G103" s="1"/>
      <c r="H103" s="1"/>
      <c r="J103" s="1"/>
      <c r="K103" s="1"/>
    </row>
    <row r="104" spans="2:15" ht="30.15" customHeight="1" x14ac:dyDescent="0.25">
      <c r="B104" s="1"/>
      <c r="C104" s="1"/>
      <c r="D104" s="1"/>
      <c r="E104" s="1"/>
      <c r="F104" s="1"/>
      <c r="G104" s="1"/>
      <c r="H104" s="1"/>
      <c r="J104" s="1"/>
      <c r="K104" s="1"/>
    </row>
    <row r="105" spans="2:15" ht="23.1" customHeight="1" x14ac:dyDescent="0.25">
      <c r="B105" s="1"/>
      <c r="C105" s="1"/>
      <c r="D105" s="1"/>
      <c r="E105" s="1"/>
      <c r="F105" s="1"/>
      <c r="G105" s="1"/>
      <c r="H105" s="1"/>
      <c r="J105" s="1"/>
      <c r="K105" s="1"/>
    </row>
    <row r="106" spans="2:15" ht="37.5" customHeight="1" x14ac:dyDescent="0.25">
      <c r="B106" s="1"/>
      <c r="C106" s="1"/>
      <c r="D106" s="1"/>
      <c r="E106" s="1"/>
      <c r="F106" s="1"/>
      <c r="G106" s="1"/>
      <c r="H106" s="1"/>
      <c r="J106" s="1"/>
      <c r="K106" s="1"/>
    </row>
    <row r="107" spans="2:15" ht="23.1" customHeight="1" x14ac:dyDescent="0.25">
      <c r="B107" s="1"/>
      <c r="C107" s="1"/>
      <c r="D107" s="1"/>
      <c r="E107" s="1"/>
      <c r="F107" s="1"/>
      <c r="G107" s="1"/>
      <c r="H107" s="1"/>
      <c r="J107" s="1"/>
      <c r="K107" s="1"/>
    </row>
    <row r="108" spans="2:15" ht="23.1" customHeight="1" x14ac:dyDescent="0.25">
      <c r="B108" s="1"/>
      <c r="C108" s="1"/>
      <c r="D108" s="1"/>
      <c r="E108" s="1"/>
      <c r="F108" s="1"/>
      <c r="G108" s="1"/>
      <c r="H108" s="1"/>
      <c r="J108" s="1"/>
      <c r="K108" s="1"/>
    </row>
    <row r="109" spans="2:15" ht="27" customHeight="1" x14ac:dyDescent="0.25">
      <c r="B109" s="1"/>
      <c r="C109" s="1"/>
      <c r="D109" s="1"/>
      <c r="E109" s="1"/>
      <c r="F109" s="1"/>
      <c r="G109" s="1"/>
      <c r="H109" s="1"/>
      <c r="J109" s="1"/>
      <c r="K109" s="1"/>
    </row>
    <row r="110" spans="2:15" ht="27.75" customHeight="1" x14ac:dyDescent="0.25">
      <c r="B110" s="1"/>
      <c r="C110" s="1"/>
      <c r="D110" s="1"/>
      <c r="E110" s="1"/>
      <c r="F110" s="1"/>
      <c r="G110" s="1"/>
      <c r="H110" s="1"/>
      <c r="J110" s="1"/>
      <c r="K110" s="1"/>
    </row>
    <row r="111" spans="2:15" ht="27.75" customHeight="1" x14ac:dyDescent="0.25">
      <c r="B111" s="1"/>
      <c r="C111" s="1"/>
      <c r="D111" s="1"/>
      <c r="E111" s="1"/>
      <c r="F111" s="1"/>
      <c r="G111" s="1"/>
      <c r="H111" s="1"/>
      <c r="J111" s="1"/>
      <c r="K111" s="1"/>
    </row>
    <row r="112" spans="2:15" ht="36" customHeight="1" x14ac:dyDescent="0.25">
      <c r="B112" s="1"/>
      <c r="C112" s="1"/>
      <c r="D112" s="1"/>
      <c r="E112" s="1"/>
      <c r="F112" s="1"/>
      <c r="G112" s="1"/>
      <c r="H112" s="1"/>
      <c r="J112" s="1"/>
      <c r="K112" s="1"/>
    </row>
    <row r="113" spans="2:11" ht="23.1" customHeight="1" x14ac:dyDescent="0.25">
      <c r="B113" s="1"/>
      <c r="C113" s="1"/>
      <c r="D113" s="1"/>
      <c r="E113" s="1"/>
      <c r="F113" s="1"/>
      <c r="G113" s="1"/>
      <c r="H113" s="1"/>
      <c r="J113" s="1"/>
      <c r="K113" s="1"/>
    </row>
    <row r="114" spans="2:11" ht="23.1" customHeight="1" x14ac:dyDescent="0.25">
      <c r="B114" s="1"/>
      <c r="C114" s="1"/>
      <c r="D114" s="1"/>
      <c r="E114" s="1"/>
      <c r="F114" s="1"/>
      <c r="G114" s="1"/>
      <c r="H114" s="1"/>
      <c r="J114" s="1"/>
      <c r="K114" s="1"/>
    </row>
    <row r="115" spans="2:11" x14ac:dyDescent="0.25">
      <c r="B115" s="1"/>
      <c r="C115" s="1"/>
      <c r="D115" s="1"/>
      <c r="E115" s="1"/>
      <c r="F115" s="1"/>
      <c r="G115" s="1"/>
      <c r="H115" s="1"/>
      <c r="J115" s="1"/>
      <c r="K115" s="1"/>
    </row>
    <row r="116" spans="2:11" x14ac:dyDescent="0.25">
      <c r="B116" s="1"/>
      <c r="C116" s="1"/>
      <c r="D116" s="1"/>
      <c r="E116" s="1"/>
      <c r="F116" s="1"/>
      <c r="G116" s="1"/>
      <c r="H116" s="1"/>
      <c r="J116" s="1"/>
      <c r="K116" s="1"/>
    </row>
    <row r="117" spans="2:11" x14ac:dyDescent="0.25">
      <c r="B117" s="1"/>
      <c r="C117" s="1"/>
      <c r="D117" s="1"/>
      <c r="E117" s="1"/>
      <c r="F117" s="1"/>
      <c r="G117" s="1"/>
      <c r="H117" s="1"/>
      <c r="J117" s="1"/>
      <c r="K117" s="1"/>
    </row>
    <row r="118" spans="2:11" x14ac:dyDescent="0.25">
      <c r="B118" s="1"/>
      <c r="C118" s="1"/>
      <c r="D118" s="1"/>
      <c r="E118" s="1"/>
      <c r="F118" s="1"/>
      <c r="G118" s="1"/>
      <c r="H118" s="1"/>
      <c r="J118" s="1"/>
      <c r="K118" s="1"/>
    </row>
    <row r="119" spans="2:11" x14ac:dyDescent="0.25">
      <c r="B119" s="1"/>
      <c r="C119" s="1"/>
      <c r="D119" s="1"/>
      <c r="E119" s="1"/>
      <c r="F119" s="1"/>
      <c r="G119" s="1"/>
      <c r="H119" s="1"/>
      <c r="J119" s="1"/>
      <c r="K119" s="1"/>
    </row>
    <row r="120" spans="2:11" x14ac:dyDescent="0.25">
      <c r="B120" s="1"/>
      <c r="C120" s="1"/>
      <c r="D120" s="1"/>
      <c r="E120" s="1"/>
      <c r="F120" s="1"/>
      <c r="G120" s="1"/>
      <c r="H120" s="1"/>
      <c r="J120" s="1"/>
      <c r="K120" s="1"/>
    </row>
    <row r="121" spans="2:11" x14ac:dyDescent="0.25">
      <c r="B121" s="1"/>
      <c r="C121" s="1"/>
      <c r="D121" s="1"/>
      <c r="E121" s="1"/>
      <c r="F121" s="1"/>
      <c r="G121" s="1"/>
      <c r="H121" s="1"/>
      <c r="J121" s="1"/>
      <c r="K121" s="1"/>
    </row>
  </sheetData>
  <sheetProtection sheet="1" objects="1" scenarios="1"/>
  <mergeCells count="24">
    <mergeCell ref="C2:F2"/>
    <mergeCell ref="B28:H28"/>
    <mergeCell ref="G40:H40"/>
    <mergeCell ref="B47:H47"/>
    <mergeCell ref="G34:H34"/>
    <mergeCell ref="G35:H35"/>
    <mergeCell ref="G42:H42"/>
    <mergeCell ref="G44:H44"/>
    <mergeCell ref="G45:H45"/>
    <mergeCell ref="G36:H36"/>
    <mergeCell ref="G38:H38"/>
    <mergeCell ref="G39:H39"/>
    <mergeCell ref="G43:H43"/>
    <mergeCell ref="G37:H37"/>
    <mergeCell ref="K32:N37"/>
    <mergeCell ref="B18:H18"/>
    <mergeCell ref="B11:H11"/>
    <mergeCell ref="G41:H41"/>
    <mergeCell ref="B3:F3"/>
    <mergeCell ref="B31:H31"/>
    <mergeCell ref="B16:H16"/>
    <mergeCell ref="B26:H26"/>
    <mergeCell ref="B10:H10"/>
    <mergeCell ref="B17:H17"/>
  </mergeCells>
  <phoneticPr fontId="0" type="noConversion"/>
  <hyperlinks>
    <hyperlink ref="G34" location="Tabelle1!A1" display="Richlinien"/>
    <hyperlink ref="G42" location="' ÖKOZS-Aufzf..-Mast'!A1" display="Zuchtsau und Mast"/>
    <hyperlink ref="G35" location="Info!A1" display="Förderung"/>
    <hyperlink ref="G44" location="Grafiken!A1" display="Grafiken"/>
    <hyperlink ref="G45" location="'6 Vergl. Aufz.-Mast'!A1" display="Vergl. Aufz.-Mast"/>
    <hyperlink ref="G34:H34" location="Ökorichlinien!A1" display="Richlinien"/>
    <hyperlink ref="G35:H35" location="Förderung!A1" display="Förderung"/>
    <hyperlink ref="G45:H45" location="'Vergl. Aufz.-Mast'!A1" display="Vergl. Aufz.-Mast"/>
    <hyperlink ref="G36" location="' ÖKOZS-Aufzf..-Mast'!A1" display="Zuchtsau und Mast"/>
    <hyperlink ref="G38" location="Grafiken!A1" display="Grafiken"/>
    <hyperlink ref="G39" location="' ÖKOZS-Aufzf..-Mast'!A1" display="Zuchtsau und Mast"/>
    <hyperlink ref="G41" location="Grafiken!A1" display="Grafiken"/>
    <hyperlink ref="G39:H39" location="'3.000'!A1" display="Legehenne3.000"/>
    <hyperlink ref="G41:H41" location="Grafiken3.000!A1" display="Grafiken3.000"/>
    <hyperlink ref="G42:H42" location="'300Mobilstall'!A1" display="LegehenneMobilstall"/>
    <hyperlink ref="G44:H44" location="GrafikenMobilstall!A1" display="GrafikenMobilstall"/>
    <hyperlink ref="G36:H36" location="'6.000'!A1" display="Legehenne6.000"/>
    <hyperlink ref="G38:H38" location="Grafiken6.000!A1" display="Grafiken6.000"/>
    <hyperlink ref="G40:H40" location="Folie3.000!A1" display="Folien3.000"/>
    <hyperlink ref="G43:H43" location="FolieMobilstall!A1" display="FolienMobilstall"/>
    <hyperlink ref="G37:H37" location="Folie6.000!A1" display="Folien6.000"/>
  </hyperlinks>
  <printOptions horizontalCentered="1" gridLinesSet="0"/>
  <pageMargins left="0.23622047244094491" right="0.23622047244094491" top="0.74803149606299213" bottom="0.74803149606299213" header="0.31496062992125984" footer="0.31496062992125984"/>
  <pageSetup paperSize="9" scale="56" orientation="portrait" verticalDpi="300" r:id="rId1"/>
  <headerFooter alignWithMargins="0">
    <oddFooter>&amp;LLEL, Abt.2,J.Miez, K. Schabel, V. Segger&amp;C&amp;F&amp;R&amp;D</oddFooter>
  </headerFooter>
  <colBreaks count="1" manualBreakCount="1">
    <brk id="9" max="1048575" man="1"/>
  </col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FFC000"/>
    <pageSetUpPr fitToPage="1"/>
  </sheetPr>
  <dimension ref="A1:AO100"/>
  <sheetViews>
    <sheetView showGridLines="0" topLeftCell="A76" zoomScale="85" zoomScaleNormal="85" workbookViewId="0">
      <selection activeCell="E33" sqref="E33"/>
    </sheetView>
  </sheetViews>
  <sheetFormatPr baseColWidth="10" defaultColWidth="11.33203125" defaultRowHeight="13.2" x14ac:dyDescent="0.25"/>
  <cols>
    <col min="1" max="1" width="1.33203125" style="1" customWidth="1"/>
    <col min="2" max="2" width="33.88671875" style="12" customWidth="1"/>
    <col min="3" max="3" width="17.44140625" style="12" customWidth="1"/>
    <col min="4" max="4" width="6.44140625" style="12" customWidth="1"/>
    <col min="5" max="5" width="18.33203125" style="12" customWidth="1"/>
    <col min="6" max="6" width="8.6640625" style="12" customWidth="1"/>
    <col min="7" max="7" width="29.77734375" style="12" customWidth="1"/>
    <col min="8" max="8" width="20.33203125" style="12" customWidth="1"/>
    <col min="9" max="9" width="9.88671875" style="12" customWidth="1"/>
    <col min="10" max="10" width="10.44140625" style="12" customWidth="1"/>
    <col min="11" max="11" width="9.77734375" style="12" customWidth="1"/>
    <col min="12" max="12" width="0.88671875" style="12" customWidth="1"/>
    <col min="13" max="13" width="4.21875" style="1" hidden="1" customWidth="1"/>
    <col min="14" max="14" width="26.6640625" style="1" hidden="1" customWidth="1"/>
    <col min="15" max="15" width="9.77734375" style="1" hidden="1" customWidth="1"/>
    <col min="16" max="16" width="11.33203125" style="1" hidden="1" customWidth="1"/>
    <col min="17" max="17" width="33.6640625" style="1" hidden="1" customWidth="1"/>
    <col min="18" max="18" width="11.33203125" style="1" customWidth="1"/>
    <col min="19" max="16384" width="11.33203125" style="1"/>
  </cols>
  <sheetData>
    <row r="1" spans="2:35" ht="6.15" customHeight="1" thickBot="1" x14ac:dyDescent="0.35">
      <c r="B1" s="11"/>
      <c r="C1" s="11"/>
      <c r="D1" s="11"/>
      <c r="E1" s="11"/>
      <c r="F1" s="11"/>
      <c r="G1" s="11"/>
      <c r="H1" s="11"/>
      <c r="I1" s="11"/>
      <c r="J1" s="11"/>
      <c r="K1" s="11"/>
      <c r="L1" s="11"/>
      <c r="M1" s="3"/>
      <c r="N1" s="3"/>
      <c r="O1" s="3"/>
    </row>
    <row r="2" spans="2:35" ht="36" customHeight="1" thickBot="1" x14ac:dyDescent="0.35">
      <c r="B2" s="683" t="s">
        <v>193</v>
      </c>
      <c r="C2" s="684"/>
      <c r="D2" s="684"/>
      <c r="E2" s="684"/>
      <c r="F2" s="684"/>
      <c r="G2" s="684"/>
      <c r="H2" s="684"/>
      <c r="I2" s="685" t="str">
        <f>'6.000'!I2</f>
        <v>Vers.01/2018
 (Stand: 07/2018)</v>
      </c>
      <c r="J2" s="686"/>
      <c r="N2" s="3"/>
      <c r="O2" s="3"/>
      <c r="R2" s="726" t="s">
        <v>278</v>
      </c>
      <c r="S2" s="727"/>
      <c r="T2" s="728"/>
    </row>
    <row r="3" spans="2:35" ht="4.05" customHeight="1" thickBot="1" x14ac:dyDescent="0.3">
      <c r="B3" s="74"/>
      <c r="C3" s="74"/>
      <c r="D3" s="74"/>
      <c r="E3" s="74"/>
      <c r="F3" s="74"/>
      <c r="G3" s="74"/>
      <c r="H3" s="74"/>
      <c r="I3" s="74"/>
      <c r="J3" s="74"/>
      <c r="K3" s="11"/>
      <c r="L3" s="11"/>
      <c r="M3"/>
      <c r="N3"/>
      <c r="O3"/>
    </row>
    <row r="4" spans="2:35" ht="22.65" customHeight="1" thickBot="1" x14ac:dyDescent="0.35">
      <c r="B4" s="92" t="s">
        <v>23</v>
      </c>
      <c r="C4" s="695" t="s">
        <v>12</v>
      </c>
      <c r="D4" s="696"/>
      <c r="F4" s="144" t="s">
        <v>24</v>
      </c>
      <c r="G4" s="145" t="s">
        <v>61</v>
      </c>
      <c r="H4" s="92" t="s">
        <v>11</v>
      </c>
      <c r="I4" s="681">
        <v>42663</v>
      </c>
      <c r="J4" s="682"/>
      <c r="M4"/>
      <c r="N4"/>
      <c r="O4"/>
    </row>
    <row r="5" spans="2:35" ht="4.8" customHeight="1" x14ac:dyDescent="0.25">
      <c r="B5" s="75"/>
      <c r="C5" s="75"/>
      <c r="D5" s="75"/>
      <c r="E5" s="75"/>
      <c r="F5" s="75"/>
      <c r="G5" s="75"/>
      <c r="H5" s="75"/>
      <c r="I5" s="75"/>
      <c r="J5" s="75"/>
      <c r="K5" s="11"/>
      <c r="L5" s="11"/>
      <c r="M5"/>
      <c r="N5"/>
      <c r="O5"/>
    </row>
    <row r="6" spans="2:35" ht="14.25" customHeight="1" x14ac:dyDescent="0.25">
      <c r="B6" s="107"/>
      <c r="C6" s="108" t="s">
        <v>219</v>
      </c>
      <c r="D6" s="108"/>
      <c r="E6" s="109" t="s">
        <v>22</v>
      </c>
      <c r="F6" s="159" t="s">
        <v>27</v>
      </c>
      <c r="G6" s="426" t="s">
        <v>37</v>
      </c>
      <c r="H6" s="427"/>
      <c r="I6" s="428" t="s">
        <v>25</v>
      </c>
      <c r="J6" s="159" t="s">
        <v>27</v>
      </c>
      <c r="L6" s="11"/>
      <c r="M6"/>
      <c r="N6"/>
      <c r="O6"/>
      <c r="S6" s="430" t="s">
        <v>177</v>
      </c>
      <c r="T6" s="430"/>
      <c r="U6" s="430"/>
      <c r="V6" s="430"/>
      <c r="W6" s="430"/>
      <c r="X6" s="430"/>
      <c r="Y6" s="430"/>
      <c r="Z6" s="430"/>
    </row>
    <row r="7" spans="2:35" ht="14.25" customHeight="1" x14ac:dyDescent="0.3">
      <c r="E7" s="109" t="s">
        <v>21</v>
      </c>
      <c r="F7" s="110" t="str">
        <f>IF(F6="","X","")</f>
        <v/>
      </c>
      <c r="G7" s="429"/>
      <c r="H7" s="427"/>
      <c r="I7" s="428" t="s">
        <v>26</v>
      </c>
      <c r="J7" s="110" t="str">
        <f>IF(J6="","X","")</f>
        <v/>
      </c>
      <c r="K7" s="101" t="s">
        <v>0</v>
      </c>
      <c r="L7" s="11"/>
      <c r="M7"/>
      <c r="N7"/>
      <c r="O7"/>
      <c r="S7" s="111"/>
    </row>
    <row r="8" spans="2:35" ht="6" customHeight="1" thickBot="1" x14ac:dyDescent="0.35">
      <c r="C8" s="75"/>
      <c r="D8" s="75"/>
      <c r="E8" s="75"/>
      <c r="F8" s="75"/>
      <c r="G8" s="75"/>
      <c r="H8" s="75"/>
      <c r="I8" s="75"/>
      <c r="J8" s="75"/>
      <c r="K8" s="102"/>
      <c r="L8" s="17"/>
      <c r="M8" s="3"/>
      <c r="N8"/>
      <c r="O8" s="3"/>
      <c r="S8" s="111"/>
    </row>
    <row r="9" spans="2:35" ht="19.5" customHeight="1" x14ac:dyDescent="0.3">
      <c r="B9" s="76" t="s">
        <v>65</v>
      </c>
      <c r="C9" s="77"/>
      <c r="D9" s="77"/>
      <c r="E9" s="94">
        <v>0.107</v>
      </c>
      <c r="F9" s="99">
        <f>IF($J$7="",E9,"")</f>
        <v>0.107</v>
      </c>
      <c r="G9" s="78" t="s">
        <v>29</v>
      </c>
      <c r="H9" s="79"/>
      <c r="I9" s="146">
        <v>2.5</v>
      </c>
      <c r="J9" s="80" t="s">
        <v>1</v>
      </c>
      <c r="K9" s="103">
        <f>IF($J$7="",1+F9,1)</f>
        <v>1.107</v>
      </c>
      <c r="L9" s="16"/>
      <c r="M9"/>
      <c r="N9"/>
      <c r="O9"/>
      <c r="S9" s="430" t="s">
        <v>261</v>
      </c>
      <c r="T9" s="425"/>
      <c r="U9" s="425"/>
      <c r="V9" s="425"/>
      <c r="W9" s="425"/>
      <c r="X9" s="425"/>
      <c r="Y9" s="425"/>
    </row>
    <row r="10" spans="2:35" ht="19.5" customHeight="1" x14ac:dyDescent="0.3">
      <c r="B10" s="86" t="s">
        <v>20</v>
      </c>
      <c r="C10" s="87"/>
      <c r="D10" s="87"/>
      <c r="E10" s="95">
        <v>0.19</v>
      </c>
      <c r="F10" s="100">
        <f>IF($J$7="",E10,"")</f>
        <v>0.19</v>
      </c>
      <c r="G10" s="88" t="s">
        <v>19</v>
      </c>
      <c r="H10" s="89"/>
      <c r="I10" s="91">
        <v>40</v>
      </c>
      <c r="J10" s="90" t="s">
        <v>1</v>
      </c>
      <c r="K10" s="103">
        <f>IF($J$7="",1+F10,1)</f>
        <v>1.19</v>
      </c>
      <c r="L10" s="16"/>
      <c r="M10"/>
      <c r="N10"/>
      <c r="O10"/>
      <c r="S10" s="112"/>
    </row>
    <row r="11" spans="2:35" ht="19.5" customHeight="1" thickBot="1" x14ac:dyDescent="0.35">
      <c r="B11" s="81" t="s">
        <v>73</v>
      </c>
      <c r="C11" s="82"/>
      <c r="D11" s="82"/>
      <c r="E11" s="96">
        <v>7.0000000000000007E-2</v>
      </c>
      <c r="F11" s="97">
        <f>IF($J$7="",E11,"")</f>
        <v>7.0000000000000007E-2</v>
      </c>
      <c r="G11" s="84" t="s">
        <v>2</v>
      </c>
      <c r="H11" s="85"/>
      <c r="I11" s="49">
        <v>16</v>
      </c>
      <c r="J11" s="83" t="s">
        <v>9</v>
      </c>
      <c r="K11" s="104">
        <f>IF($J$7="",1+F11,1)</f>
        <v>1.07</v>
      </c>
      <c r="L11" s="16"/>
      <c r="M11"/>
      <c r="N11"/>
      <c r="O11"/>
      <c r="S11" s="112"/>
    </row>
    <row r="12" spans="2:35" s="135" customFormat="1" ht="7.5" customHeight="1" thickBot="1" x14ac:dyDescent="0.35">
      <c r="B12" s="132"/>
      <c r="C12" s="132"/>
      <c r="D12" s="132"/>
      <c r="E12" s="115"/>
      <c r="F12" s="115"/>
      <c r="G12" s="133"/>
      <c r="H12" s="133"/>
      <c r="I12"/>
      <c r="J12"/>
      <c r="K12" s="116"/>
      <c r="L12" s="25"/>
      <c r="M12" s="134"/>
      <c r="N12" s="134"/>
      <c r="O12" s="134"/>
      <c r="S12" s="134"/>
    </row>
    <row r="13" spans="2:35" ht="17.399999999999999" x14ac:dyDescent="0.3">
      <c r="B13" s="660" t="s">
        <v>38</v>
      </c>
      <c r="C13" s="661"/>
      <c r="D13" s="661"/>
      <c r="E13" s="661"/>
      <c r="F13" s="661"/>
      <c r="G13" s="661"/>
      <c r="H13" s="662"/>
      <c r="I13" s="689" t="s">
        <v>116</v>
      </c>
      <c r="J13" s="690"/>
      <c r="K13" s="116"/>
      <c r="L13" s="16"/>
      <c r="M13"/>
      <c r="N13"/>
      <c r="O13"/>
      <c r="S13" s="112"/>
    </row>
    <row r="14" spans="2:35" ht="15" x14ac:dyDescent="0.25">
      <c r="B14" s="165" t="s">
        <v>31</v>
      </c>
      <c r="C14" s="174" t="s">
        <v>30</v>
      </c>
      <c r="D14" s="174"/>
      <c r="E14" s="167">
        <v>3.25</v>
      </c>
      <c r="F14" s="124" t="s">
        <v>170</v>
      </c>
      <c r="G14" s="14"/>
      <c r="H14" s="174" t="s">
        <v>117</v>
      </c>
      <c r="I14" s="655">
        <f>76.4*0.5/2.5</f>
        <v>15.280000000000001</v>
      </c>
      <c r="J14" s="656"/>
      <c r="K14" s="116"/>
      <c r="M14"/>
      <c r="N14"/>
      <c r="O14"/>
      <c r="S14" s="114" t="s">
        <v>328</v>
      </c>
    </row>
    <row r="15" spans="2:35" ht="16.2" x14ac:dyDescent="0.35">
      <c r="B15" s="166" t="s">
        <v>221</v>
      </c>
      <c r="C15" s="174" t="s">
        <v>59</v>
      </c>
      <c r="D15" s="174"/>
      <c r="E15" s="168">
        <v>1.27</v>
      </c>
      <c r="F15" s="123" t="s">
        <v>291</v>
      </c>
      <c r="G15" s="14"/>
      <c r="H15" s="174" t="s">
        <v>118</v>
      </c>
      <c r="I15" s="647">
        <f>39.6/2.5</f>
        <v>15.84</v>
      </c>
      <c r="J15" s="648"/>
      <c r="K15" s="116"/>
      <c r="M15"/>
      <c r="N15"/>
      <c r="O15"/>
      <c r="S15" s="114" t="s">
        <v>349</v>
      </c>
      <c r="AI15" s="113" t="s">
        <v>163</v>
      </c>
    </row>
    <row r="16" spans="2:35" ht="19.2" thickBot="1" x14ac:dyDescent="0.45">
      <c r="B16" s="170"/>
      <c r="C16" s="136" t="s">
        <v>60</v>
      </c>
      <c r="D16" s="136"/>
      <c r="E16" s="169">
        <v>1.1499999999999999</v>
      </c>
      <c r="F16" s="137" t="s">
        <v>63</v>
      </c>
      <c r="G16" s="138"/>
      <c r="H16" s="136" t="s">
        <v>119</v>
      </c>
      <c r="I16" s="649">
        <f>31.6/2.5</f>
        <v>12.64</v>
      </c>
      <c r="J16" s="650"/>
      <c r="K16"/>
      <c r="L16" s="11"/>
      <c r="M16"/>
      <c r="N16"/>
      <c r="O16"/>
      <c r="S16" s="112"/>
      <c r="AI16" s="114" t="s">
        <v>96</v>
      </c>
    </row>
    <row r="17" spans="2:41" s="121" customFormat="1" ht="5.4" customHeight="1" thickBot="1" x14ac:dyDescent="0.3">
      <c r="B17" s="117"/>
      <c r="C17" s="118"/>
      <c r="D17" s="118"/>
      <c r="E17" s="118"/>
      <c r="F17" s="175"/>
      <c r="G17" s="117"/>
      <c r="H17" s="117"/>
      <c r="I17" s="117"/>
      <c r="J17" s="117"/>
      <c r="K17" s="119"/>
      <c r="L17" s="120"/>
      <c r="M17" s="119"/>
      <c r="N17" s="119"/>
      <c r="O17" s="119"/>
      <c r="S17" s="119"/>
    </row>
    <row r="18" spans="2:41" ht="25.8" customHeight="1" thickBot="1" x14ac:dyDescent="0.45">
      <c r="B18" s="651" t="str">
        <f>CONCATENATE("100 eingestallte Legehennen und ",E28," monatige Legeperiode")</f>
        <v>100 eingestallte Legehennen und 12 monatige Legeperiode</v>
      </c>
      <c r="C18" s="651"/>
      <c r="D18" s="651"/>
      <c r="E18" s="651"/>
      <c r="F18" s="651"/>
      <c r="G18" s="651"/>
      <c r="H18" s="651"/>
      <c r="I18" s="651"/>
      <c r="J18" s="652"/>
      <c r="K18" s="15"/>
      <c r="L18" s="194" t="str">
        <f>IF($C$20+$C$22&gt;1,"Summe der Anteile muss 100 % ergeben !","")</f>
        <v/>
      </c>
      <c r="M18"/>
      <c r="N18"/>
      <c r="O18"/>
      <c r="P18"/>
      <c r="R18"/>
      <c r="S18" s="630" t="s">
        <v>309</v>
      </c>
      <c r="T18" s="631"/>
      <c r="U18" s="631"/>
      <c r="V18" s="631"/>
      <c r="W18" s="631"/>
      <c r="X18" s="631"/>
      <c r="Y18" s="631"/>
      <c r="Z18" s="631"/>
      <c r="AA18" s="631"/>
      <c r="AB18" s="631"/>
      <c r="AC18" s="631"/>
      <c r="AD18" s="632"/>
      <c r="AI18" s="214" t="s">
        <v>94</v>
      </c>
      <c r="AJ18" s="202"/>
      <c r="AK18" s="202"/>
      <c r="AL18" s="202"/>
      <c r="AM18" s="202">
        <v>2013</v>
      </c>
      <c r="AN18" s="202">
        <v>2014</v>
      </c>
      <c r="AO18" s="203">
        <v>2015</v>
      </c>
    </row>
    <row r="19" spans="2:41" ht="20.100000000000001" customHeight="1" thickBot="1" x14ac:dyDescent="0.35">
      <c r="B19" s="423" t="s">
        <v>82</v>
      </c>
      <c r="C19" s="653" t="str">
        <f>IF($C$20+$C$21+$C$22&gt;1,"Summe Anteile 100 % ?","Anteile")</f>
        <v>Anteile</v>
      </c>
      <c r="D19" s="653"/>
      <c r="E19" s="654" t="s">
        <v>99</v>
      </c>
      <c r="F19" s="654"/>
      <c r="G19" s="440" t="s">
        <v>154</v>
      </c>
      <c r="H19" s="396"/>
      <c r="I19" s="431" t="s">
        <v>143</v>
      </c>
      <c r="J19" s="397"/>
      <c r="K19" s="15"/>
      <c r="R19"/>
      <c r="S19" s="633"/>
      <c r="T19" s="634"/>
      <c r="U19" s="634"/>
      <c r="V19" s="634"/>
      <c r="W19" s="634"/>
      <c r="X19" s="634"/>
      <c r="Y19" s="634"/>
      <c r="Z19" s="634"/>
      <c r="AA19" s="634"/>
      <c r="AB19" s="634"/>
      <c r="AC19" s="634"/>
      <c r="AD19" s="635"/>
      <c r="AI19" s="204" t="s">
        <v>87</v>
      </c>
      <c r="AJ19" s="205" t="s">
        <v>90</v>
      </c>
      <c r="AK19" s="206" t="s">
        <v>91</v>
      </c>
      <c r="AL19" s="206" t="s">
        <v>92</v>
      </c>
      <c r="AM19" s="206">
        <v>29.33</v>
      </c>
      <c r="AN19" s="206">
        <v>30.53</v>
      </c>
      <c r="AO19" s="207">
        <v>30.82</v>
      </c>
    </row>
    <row r="20" spans="2:41" ht="20.100000000000001" customHeight="1" x14ac:dyDescent="0.25">
      <c r="B20" s="409" t="s">
        <v>95</v>
      </c>
      <c r="C20" s="400">
        <f>100%-C21-C22</f>
        <v>0</v>
      </c>
      <c r="D20" s="411" t="s">
        <v>1</v>
      </c>
      <c r="E20" s="403">
        <v>19</v>
      </c>
      <c r="F20" s="395" t="s">
        <v>142</v>
      </c>
      <c r="G20" s="406">
        <v>0</v>
      </c>
      <c r="H20" s="395" t="s">
        <v>173</v>
      </c>
      <c r="I20" s="406">
        <v>0</v>
      </c>
      <c r="J20" s="417" t="s">
        <v>144</v>
      </c>
      <c r="K20" s="98"/>
      <c r="R20" s="636" t="s">
        <v>281</v>
      </c>
      <c r="S20" s="443" t="s">
        <v>127</v>
      </c>
      <c r="T20" s="425"/>
      <c r="U20" s="425"/>
      <c r="V20" s="425"/>
      <c r="W20" s="425"/>
      <c r="X20" s="425"/>
      <c r="Y20" s="630" t="s">
        <v>330</v>
      </c>
      <c r="Z20" s="639"/>
      <c r="AA20" s="639"/>
      <c r="AB20" s="639"/>
      <c r="AC20" s="639"/>
      <c r="AD20" s="640"/>
      <c r="AE20" s="1" t="s">
        <v>176</v>
      </c>
      <c r="AI20" s="208" t="s">
        <v>87</v>
      </c>
      <c r="AJ20" s="205" t="s">
        <v>93</v>
      </c>
      <c r="AK20" s="206" t="s">
        <v>91</v>
      </c>
      <c r="AL20" s="206" t="s">
        <v>92</v>
      </c>
      <c r="AM20" s="206">
        <v>31.98</v>
      </c>
      <c r="AN20" s="206">
        <v>33.31</v>
      </c>
      <c r="AO20" s="209">
        <v>33.47</v>
      </c>
    </row>
    <row r="21" spans="2:41" ht="20.100000000000001" customHeight="1" x14ac:dyDescent="0.25">
      <c r="B21" s="409" t="s">
        <v>129</v>
      </c>
      <c r="C21" s="401">
        <v>0.3</v>
      </c>
      <c r="D21" s="412" t="s">
        <v>1</v>
      </c>
      <c r="E21" s="404">
        <v>28</v>
      </c>
      <c r="F21" s="414" t="s">
        <v>142</v>
      </c>
      <c r="G21" s="407">
        <v>2.5</v>
      </c>
      <c r="H21" s="414" t="s">
        <v>174</v>
      </c>
      <c r="I21" s="407">
        <v>0.15</v>
      </c>
      <c r="J21" s="418" t="s">
        <v>144</v>
      </c>
      <c r="K21" s="98"/>
      <c r="R21" s="637"/>
      <c r="S21" s="443" t="s">
        <v>329</v>
      </c>
      <c r="T21" s="425"/>
      <c r="U21" s="425"/>
      <c r="V21" s="425"/>
      <c r="W21" s="425"/>
      <c r="X21" s="425"/>
      <c r="Y21" s="641"/>
      <c r="Z21" s="642"/>
      <c r="AA21" s="642"/>
      <c r="AB21" s="642"/>
      <c r="AC21" s="642"/>
      <c r="AD21" s="643"/>
      <c r="AE21" s="1" t="s">
        <v>188</v>
      </c>
      <c r="AI21" s="208" t="s">
        <v>88</v>
      </c>
      <c r="AJ21" s="205" t="s">
        <v>90</v>
      </c>
      <c r="AK21" s="206" t="s">
        <v>91</v>
      </c>
      <c r="AL21" s="206" t="s">
        <v>92</v>
      </c>
      <c r="AM21" s="206">
        <v>24.83</v>
      </c>
      <c r="AN21" s="206">
        <v>24.91</v>
      </c>
      <c r="AO21" s="209">
        <v>25.7</v>
      </c>
    </row>
    <row r="22" spans="2:41" ht="20.100000000000001" customHeight="1" thickBot="1" x14ac:dyDescent="0.3">
      <c r="B22" s="410" t="s">
        <v>101</v>
      </c>
      <c r="C22" s="402">
        <v>0.7</v>
      </c>
      <c r="D22" s="413" t="s">
        <v>1</v>
      </c>
      <c r="E22" s="405">
        <v>40</v>
      </c>
      <c r="F22" s="415" t="s">
        <v>142</v>
      </c>
      <c r="G22" s="408">
        <v>5</v>
      </c>
      <c r="H22" s="416" t="s">
        <v>175</v>
      </c>
      <c r="I22" s="408">
        <v>0.25</v>
      </c>
      <c r="J22" s="419" t="s">
        <v>144</v>
      </c>
      <c r="K22" s="98"/>
      <c r="R22" s="638"/>
      <c r="S22" s="443" t="s">
        <v>201</v>
      </c>
      <c r="T22" s="425"/>
      <c r="U22" s="425"/>
      <c r="V22" s="425"/>
      <c r="W22" s="425"/>
      <c r="X22" s="425"/>
      <c r="Y22" s="644"/>
      <c r="Z22" s="645"/>
      <c r="AA22" s="645"/>
      <c r="AB22" s="645"/>
      <c r="AC22" s="645"/>
      <c r="AD22" s="646"/>
      <c r="AI22" s="208" t="s">
        <v>88</v>
      </c>
      <c r="AJ22" s="205" t="s">
        <v>93</v>
      </c>
      <c r="AK22" s="206" t="s">
        <v>91</v>
      </c>
      <c r="AL22" s="206" t="s">
        <v>92</v>
      </c>
      <c r="AM22" s="206"/>
      <c r="AN22" s="206"/>
      <c r="AO22" s="209"/>
    </row>
    <row r="23" spans="2:41" ht="20.100000000000001" customHeight="1" thickBot="1" x14ac:dyDescent="0.35">
      <c r="B23" s="420" t="s">
        <v>171</v>
      </c>
      <c r="C23" s="421"/>
      <c r="D23" s="421"/>
      <c r="E23" s="432">
        <f>C20*E20+C21*E21+C22*E22</f>
        <v>36.4</v>
      </c>
      <c r="F23" s="422" t="s">
        <v>142</v>
      </c>
      <c r="G23" s="106" t="s">
        <v>325</v>
      </c>
      <c r="H23" s="190"/>
      <c r="I23" s="566">
        <v>2.4</v>
      </c>
      <c r="J23" s="233" t="s">
        <v>32</v>
      </c>
      <c r="K23" s="18"/>
      <c r="R23"/>
      <c r="S23" s="114" t="s">
        <v>160</v>
      </c>
      <c r="AI23" s="210" t="s">
        <v>89</v>
      </c>
      <c r="AJ23" s="211" t="s">
        <v>90</v>
      </c>
      <c r="AK23" s="212" t="s">
        <v>91</v>
      </c>
      <c r="AL23" s="212" t="s">
        <v>92</v>
      </c>
      <c r="AM23" s="212">
        <v>24.83</v>
      </c>
      <c r="AN23" s="212">
        <v>24.91</v>
      </c>
      <c r="AO23" s="213">
        <v>25.7</v>
      </c>
    </row>
    <row r="24" spans="2:41" ht="20.100000000000001" customHeight="1" x14ac:dyDescent="0.25">
      <c r="B24" s="218" t="s">
        <v>85</v>
      </c>
      <c r="C24" s="391"/>
      <c r="D24" s="391"/>
      <c r="E24" s="392">
        <v>11</v>
      </c>
      <c r="F24" s="235" t="s">
        <v>7</v>
      </c>
      <c r="G24" s="188" t="s">
        <v>79</v>
      </c>
      <c r="H24" s="199"/>
      <c r="I24" s="200">
        <f>$E$14*$I$14+$E$15*$I$15+$E$16*$I$16</f>
        <v>84.31280000000001</v>
      </c>
      <c r="J24" s="237" t="s">
        <v>9</v>
      </c>
      <c r="K24" s="18"/>
      <c r="R24"/>
      <c r="S24" s="114" t="s">
        <v>296</v>
      </c>
      <c r="AB24"/>
      <c r="AC24"/>
      <c r="AD24" s="201"/>
      <c r="AE24" s="201"/>
      <c r="AF24" s="201"/>
      <c r="AG24" s="201"/>
      <c r="AH24" s="201"/>
    </row>
    <row r="25" spans="2:41" ht="20.100000000000001" customHeight="1" thickBot="1" x14ac:dyDescent="0.35">
      <c r="B25" s="106" t="s">
        <v>86</v>
      </c>
      <c r="C25" s="236"/>
      <c r="D25" s="236"/>
      <c r="E25" s="122">
        <v>1</v>
      </c>
      <c r="F25" s="233" t="s">
        <v>7</v>
      </c>
      <c r="G25" s="193" t="s">
        <v>102</v>
      </c>
      <c r="H25" s="250"/>
      <c r="I25" s="223">
        <f>12/E28</f>
        <v>1</v>
      </c>
      <c r="J25" s="251"/>
      <c r="R25"/>
      <c r="S25" s="433" t="s">
        <v>197</v>
      </c>
      <c r="T25" s="425"/>
      <c r="U25" s="425"/>
      <c r="V25" s="425"/>
      <c r="W25" s="425"/>
      <c r="X25" s="425"/>
      <c r="Y25" s="425"/>
      <c r="Z25" s="425"/>
      <c r="AA25" s="425"/>
      <c r="AB25" s="425"/>
      <c r="AC25" s="425"/>
      <c r="AD25" s="425"/>
      <c r="AE25" s="425"/>
    </row>
    <row r="26" spans="2:41" ht="20.100000000000001" customHeight="1" x14ac:dyDescent="0.25">
      <c r="B26" s="106" t="s">
        <v>120</v>
      </c>
      <c r="C26" s="247"/>
      <c r="D26" s="247"/>
      <c r="E26" s="195">
        <v>0.12</v>
      </c>
      <c r="F26" s="239" t="s">
        <v>1</v>
      </c>
      <c r="G26" s="380" t="s">
        <v>326</v>
      </c>
      <c r="H26" s="381"/>
      <c r="I26" s="379">
        <f>SUM(I28:I35)</f>
        <v>312.67999999999995</v>
      </c>
      <c r="J26" s="233" t="s">
        <v>156</v>
      </c>
      <c r="K26" s="18"/>
      <c r="R26"/>
      <c r="S26" s="114" t="s">
        <v>331</v>
      </c>
      <c r="AH26" s="259" t="s">
        <v>149</v>
      </c>
      <c r="AI26" s="260"/>
      <c r="AJ26" s="261"/>
    </row>
    <row r="27" spans="2:41" ht="20.100000000000001" customHeight="1" x14ac:dyDescent="0.25">
      <c r="B27" s="106" t="s">
        <v>132</v>
      </c>
      <c r="C27" s="230">
        <v>0.04</v>
      </c>
      <c r="D27" s="247"/>
      <c r="E27" s="122">
        <v>8</v>
      </c>
      <c r="F27" s="233" t="s">
        <v>142</v>
      </c>
      <c r="G27" s="189" t="s">
        <v>3</v>
      </c>
      <c r="H27" s="241" t="s">
        <v>64</v>
      </c>
      <c r="I27" s="105"/>
      <c r="J27" s="242"/>
      <c r="K27" s="11"/>
      <c r="R27"/>
      <c r="S27" s="114" t="s">
        <v>298</v>
      </c>
      <c r="AH27" s="262" t="s">
        <v>146</v>
      </c>
      <c r="AI27" s="258" t="s">
        <v>147</v>
      </c>
      <c r="AJ27" s="263" t="s">
        <v>148</v>
      </c>
    </row>
    <row r="28" spans="2:41" ht="20.100000000000001" customHeight="1" thickBot="1" x14ac:dyDescent="0.3">
      <c r="B28" s="215" t="s">
        <v>106</v>
      </c>
      <c r="C28" s="240"/>
      <c r="D28" s="240"/>
      <c r="E28" s="220">
        <v>12</v>
      </c>
      <c r="F28" s="233" t="s">
        <v>131</v>
      </c>
      <c r="G28" s="106" t="s">
        <v>81</v>
      </c>
      <c r="H28" s="122">
        <v>16</v>
      </c>
      <c r="I28" s="163">
        <f>IF($J$7="",H28,H28/K28)</f>
        <v>16</v>
      </c>
      <c r="J28" s="233" t="s">
        <v>156</v>
      </c>
      <c r="K28" s="98">
        <f>1+$E$10</f>
        <v>1.19</v>
      </c>
      <c r="R28"/>
      <c r="S28" s="114" t="s">
        <v>332</v>
      </c>
      <c r="AH28" s="264">
        <v>5</v>
      </c>
      <c r="AI28" s="265">
        <v>25</v>
      </c>
      <c r="AJ28" s="266">
        <v>9</v>
      </c>
      <c r="AK28" s="1" t="s">
        <v>187</v>
      </c>
    </row>
    <row r="29" spans="2:41" ht="20.100000000000001" customHeight="1" x14ac:dyDescent="0.25">
      <c r="B29" s="231" t="s">
        <v>126</v>
      </c>
      <c r="C29" s="243"/>
      <c r="D29" s="243"/>
      <c r="E29" s="216">
        <v>14</v>
      </c>
      <c r="F29" s="244" t="s">
        <v>107</v>
      </c>
      <c r="G29" s="106" t="s">
        <v>97</v>
      </c>
      <c r="H29" s="122">
        <f>AH28+AI28+AJ28*E26</f>
        <v>31.08</v>
      </c>
      <c r="I29" s="163">
        <f t="shared" ref="I29" si="0">IF($J$7="",H29,H29/K29)</f>
        <v>31.08</v>
      </c>
      <c r="J29" s="233" t="s">
        <v>156</v>
      </c>
      <c r="K29" s="183">
        <f>1+$E$9</f>
        <v>1.107</v>
      </c>
      <c r="R29"/>
      <c r="S29" s="114" t="s">
        <v>333</v>
      </c>
    </row>
    <row r="30" spans="2:41" ht="20.100000000000001" customHeight="1" thickBot="1" x14ac:dyDescent="0.3">
      <c r="B30" s="106" t="s">
        <v>138</v>
      </c>
      <c r="C30" s="217"/>
      <c r="D30" s="245"/>
      <c r="E30" s="122">
        <v>61</v>
      </c>
      <c r="F30" s="233" t="s">
        <v>8</v>
      </c>
      <c r="G30" s="106" t="s">
        <v>55</v>
      </c>
      <c r="H30" s="122">
        <v>120</v>
      </c>
      <c r="I30" s="163">
        <f>IF($J$7="",H30,H30/K30)</f>
        <v>120</v>
      </c>
      <c r="J30" s="233" t="s">
        <v>156</v>
      </c>
      <c r="K30" s="98">
        <f t="shared" ref="K30:K34" si="1">1+$E$10</f>
        <v>1.19</v>
      </c>
      <c r="R30"/>
      <c r="S30" s="114" t="s">
        <v>344</v>
      </c>
    </row>
    <row r="31" spans="2:41" ht="20.100000000000001" customHeight="1" x14ac:dyDescent="0.25">
      <c r="B31" s="106" t="s">
        <v>139</v>
      </c>
      <c r="C31" s="234"/>
      <c r="D31" s="399"/>
      <c r="E31" s="398">
        <v>135</v>
      </c>
      <c r="F31" s="233" t="s">
        <v>109</v>
      </c>
      <c r="G31" s="106" t="s">
        <v>98</v>
      </c>
      <c r="H31" s="122">
        <f>AH33*AI33+AJ33</f>
        <v>23.6</v>
      </c>
      <c r="I31" s="163">
        <f>IF($J$7="",H31,H31/K31)</f>
        <v>23.6</v>
      </c>
      <c r="J31" s="233" t="s">
        <v>156</v>
      </c>
      <c r="K31" s="98">
        <f>1+$E$9</f>
        <v>1.107</v>
      </c>
      <c r="R31"/>
      <c r="S31" s="114" t="s">
        <v>334</v>
      </c>
      <c r="AH31" s="259" t="s">
        <v>150</v>
      </c>
      <c r="AI31" s="260"/>
      <c r="AJ31" s="261"/>
    </row>
    <row r="32" spans="2:41" ht="20.100000000000001" customHeight="1" x14ac:dyDescent="0.25">
      <c r="B32" s="188" t="s">
        <v>125</v>
      </c>
      <c r="C32" s="222">
        <v>4</v>
      </c>
      <c r="D32" s="246" t="s">
        <v>141</v>
      </c>
      <c r="E32" s="216">
        <v>6</v>
      </c>
      <c r="F32" s="237" t="s">
        <v>68</v>
      </c>
      <c r="G32" s="219" t="s">
        <v>172</v>
      </c>
      <c r="H32" s="122">
        <v>100</v>
      </c>
      <c r="I32" s="163">
        <f>IF($J$7="",H32,H32/K32)</f>
        <v>100</v>
      </c>
      <c r="J32" s="233" t="s">
        <v>156</v>
      </c>
      <c r="K32" s="98">
        <f t="shared" si="1"/>
        <v>1.19</v>
      </c>
      <c r="R32"/>
      <c r="S32" s="114" t="s">
        <v>335</v>
      </c>
      <c r="AH32" s="262" t="s">
        <v>152</v>
      </c>
      <c r="AI32" s="263" t="s">
        <v>151</v>
      </c>
      <c r="AJ32" s="258" t="s">
        <v>153</v>
      </c>
    </row>
    <row r="33" spans="1:38" ht="20.100000000000001" customHeight="1" thickBot="1" x14ac:dyDescent="0.3">
      <c r="B33" s="106" t="s">
        <v>121</v>
      </c>
      <c r="C33" s="190"/>
      <c r="D33" s="190"/>
      <c r="E33" s="161">
        <v>150</v>
      </c>
      <c r="F33" s="233" t="s">
        <v>140</v>
      </c>
      <c r="G33" s="106" t="s">
        <v>80</v>
      </c>
      <c r="H33" s="122">
        <v>3</v>
      </c>
      <c r="I33" s="163">
        <f>IF($J$7="",H33,H33/K33)</f>
        <v>3</v>
      </c>
      <c r="J33" s="233" t="s">
        <v>156</v>
      </c>
      <c r="K33" s="98">
        <f>1+$E$10</f>
        <v>1.19</v>
      </c>
      <c r="R33"/>
      <c r="S33" s="114" t="s">
        <v>84</v>
      </c>
      <c r="AH33" s="264">
        <v>0.3</v>
      </c>
      <c r="AI33" s="266">
        <v>12</v>
      </c>
      <c r="AJ33" s="265">
        <v>20</v>
      </c>
    </row>
    <row r="34" spans="1:38" ht="20.100000000000001" customHeight="1" x14ac:dyDescent="0.25">
      <c r="B34" s="106" t="str">
        <f>"maßgebl. Neubaukosten/(inkl. Förderung" &amp;IF($J$6=""," ohne Mwst.)", " mit Mwst.)")</f>
        <v>maßgebl. Neubaukosten/(inkl. Förderung mit Mwst.)</v>
      </c>
      <c r="C34" s="190"/>
      <c r="D34" s="190"/>
      <c r="E34" s="160">
        <f>IF($F$7="",E33*$K$10-E33*$I$10%,E33*$K$10)</f>
        <v>118.5</v>
      </c>
      <c r="F34" s="233" t="s">
        <v>140</v>
      </c>
      <c r="G34" s="106" t="s">
        <v>56</v>
      </c>
      <c r="H34" s="122">
        <v>10</v>
      </c>
      <c r="I34" s="163">
        <f>IF($J$7="",H34,H34/K34)</f>
        <v>10</v>
      </c>
      <c r="J34" s="233" t="s">
        <v>156</v>
      </c>
      <c r="K34" s="98">
        <f t="shared" si="1"/>
        <v>1.19</v>
      </c>
      <c r="R34"/>
      <c r="S34" s="114" t="s">
        <v>343</v>
      </c>
    </row>
    <row r="35" spans="1:38" ht="20.100000000000001" customHeight="1" x14ac:dyDescent="0.25">
      <c r="B35" s="106" t="s">
        <v>270</v>
      </c>
      <c r="C35" s="234"/>
      <c r="D35" s="247"/>
      <c r="E35" s="164">
        <v>12</v>
      </c>
      <c r="F35" s="233" t="s">
        <v>4</v>
      </c>
      <c r="G35" s="191" t="s">
        <v>62</v>
      </c>
      <c r="H35" s="162">
        <v>1.4999999999999999E-2</v>
      </c>
      <c r="I35" s="177">
        <f>((E24+E25)*100)/2*$H$35</f>
        <v>9</v>
      </c>
      <c r="J35" s="237" t="s">
        <v>156</v>
      </c>
      <c r="K35" s="98"/>
      <c r="R35" s="134"/>
    </row>
    <row r="36" spans="1:38" ht="20.100000000000001" customHeight="1" x14ac:dyDescent="0.25">
      <c r="B36" s="106" t="s">
        <v>271</v>
      </c>
      <c r="C36" s="234"/>
      <c r="D36" s="247"/>
      <c r="E36" s="91">
        <v>2</v>
      </c>
      <c r="F36" s="233" t="s">
        <v>1</v>
      </c>
      <c r="G36" s="192" t="s">
        <v>273</v>
      </c>
      <c r="H36" s="122">
        <v>50</v>
      </c>
      <c r="I36" s="176">
        <f>IF($J$7="",H36,H36/K36)</f>
        <v>50</v>
      </c>
      <c r="J36" s="233" t="s">
        <v>156</v>
      </c>
      <c r="K36" s="98">
        <f>1+$E$10</f>
        <v>1.19</v>
      </c>
      <c r="R36" s="134"/>
    </row>
    <row r="37" spans="1:38" ht="20.100000000000001" customHeight="1" x14ac:dyDescent="0.25">
      <c r="B37" s="219" t="s">
        <v>71</v>
      </c>
      <c r="C37" s="247"/>
      <c r="D37" s="247"/>
      <c r="E37" s="182">
        <v>250</v>
      </c>
      <c r="F37" s="248" t="s">
        <v>72</v>
      </c>
      <c r="G37" s="601" t="s">
        <v>110</v>
      </c>
      <c r="H37" s="602"/>
      <c r="I37" s="228">
        <v>130</v>
      </c>
      <c r="J37" s="249" t="s">
        <v>6</v>
      </c>
      <c r="R37" s="134"/>
      <c r="S37" s="430" t="s">
        <v>196</v>
      </c>
      <c r="T37" s="425"/>
      <c r="U37" s="425"/>
      <c r="V37" s="425"/>
      <c r="W37" s="425"/>
      <c r="X37" s="425"/>
      <c r="Y37" s="114" t="s">
        <v>336</v>
      </c>
    </row>
    <row r="38" spans="1:38" ht="20.100000000000001" customHeight="1" thickBot="1" x14ac:dyDescent="0.3">
      <c r="B38" s="393" t="s">
        <v>123</v>
      </c>
      <c r="C38" s="252"/>
      <c r="D38" s="252"/>
      <c r="E38" s="232">
        <v>4</v>
      </c>
      <c r="F38" s="394" t="s">
        <v>122</v>
      </c>
      <c r="G38" s="193" t="s">
        <v>113</v>
      </c>
      <c r="H38" s="252"/>
      <c r="I38" s="229">
        <f>(I20*C20+I21*C21+I22*C22)*1000/60</f>
        <v>3.6666666666666661</v>
      </c>
      <c r="J38" s="253" t="s">
        <v>6</v>
      </c>
      <c r="K38" s="98"/>
      <c r="R38" s="134"/>
      <c r="S38" s="114" t="s">
        <v>337</v>
      </c>
      <c r="Y38" s="438" t="s">
        <v>338</v>
      </c>
      <c r="Z38" s="196"/>
      <c r="AA38" s="196"/>
      <c r="AB38" s="439"/>
    </row>
    <row r="39" spans="1:38" ht="20.100000000000001" customHeight="1" x14ac:dyDescent="0.25">
      <c r="B39" s="267" t="s">
        <v>223</v>
      </c>
      <c r="C39" s="238"/>
      <c r="D39" s="238"/>
      <c r="E39" s="238"/>
      <c r="F39" s="238"/>
      <c r="G39" s="238"/>
      <c r="H39" s="238"/>
      <c r="I39" s="238"/>
      <c r="J39" s="254"/>
      <c r="K39" s="11"/>
      <c r="T39"/>
      <c r="U39"/>
      <c r="V39"/>
      <c r="W39"/>
      <c r="X39"/>
      <c r="Y39" s="438"/>
      <c r="Z39" s="196"/>
      <c r="AA39" s="196"/>
      <c r="AB39" s="439"/>
      <c r="AC39"/>
      <c r="AD39"/>
      <c r="AE39"/>
      <c r="AF39"/>
      <c r="AG39"/>
      <c r="AH39"/>
      <c r="AI39"/>
      <c r="AJ39"/>
      <c r="AK39"/>
      <c r="AL39"/>
    </row>
    <row r="40" spans="1:38" ht="7.5" customHeight="1" thickBot="1" x14ac:dyDescent="0.35">
      <c r="B40" s="255"/>
      <c r="C40" s="255"/>
      <c r="D40" s="255"/>
      <c r="E40" s="26"/>
      <c r="F40" s="256"/>
      <c r="G40" s="255"/>
      <c r="H40" s="257"/>
      <c r="I40" s="26"/>
      <c r="J40" s="256"/>
      <c r="K40" s="11"/>
      <c r="R40"/>
      <c r="S40"/>
      <c r="T40"/>
      <c r="U40"/>
      <c r="V40"/>
      <c r="W40"/>
      <c r="X40"/>
      <c r="Y40"/>
      <c r="Z40"/>
      <c r="AA40"/>
      <c r="AB40"/>
      <c r="AC40"/>
      <c r="AD40"/>
      <c r="AE40"/>
      <c r="AF40"/>
      <c r="AG40"/>
      <c r="AH40"/>
      <c r="AI40"/>
      <c r="AJ40"/>
      <c r="AK40"/>
      <c r="AL40"/>
    </row>
    <row r="41" spans="1:38" s="37" customFormat="1" ht="20.100000000000001" customHeight="1" x14ac:dyDescent="0.3">
      <c r="B41" s="270" t="s">
        <v>28</v>
      </c>
      <c r="C41" s="271"/>
      <c r="D41" s="271"/>
      <c r="E41" s="272"/>
      <c r="F41" s="273"/>
      <c r="G41" s="607" t="s">
        <v>115</v>
      </c>
      <c r="H41" s="608"/>
      <c r="I41" s="608"/>
      <c r="J41" s="609"/>
      <c r="K41" s="48"/>
      <c r="R41" s="34"/>
      <c r="S41" s="430" t="s">
        <v>195</v>
      </c>
      <c r="T41" s="430"/>
      <c r="U41" s="430"/>
      <c r="V41" s="430"/>
      <c r="W41" s="430"/>
      <c r="X41" s="430"/>
      <c r="Y41" s="430"/>
      <c r="Z41" s="430"/>
      <c r="AA41" s="430"/>
      <c r="AB41" s="430"/>
      <c r="AC41" s="430"/>
      <c r="AD41" s="430"/>
      <c r="AE41" s="430"/>
      <c r="AF41" s="430"/>
      <c r="AG41" s="430"/>
      <c r="AH41" s="430"/>
      <c r="AI41" s="430"/>
      <c r="AJ41" s="430"/>
      <c r="AK41" s="430"/>
    </row>
    <row r="42" spans="1:38" s="37" customFormat="1" ht="29.25" customHeight="1" thickBot="1" x14ac:dyDescent="0.35">
      <c r="B42" s="274" t="str">
        <f>IF($J$7="",$I$6,$I$7)</f>
        <v xml:space="preserve">Pauschalierung </v>
      </c>
      <c r="C42" s="275" t="str">
        <f>IF($F$7="","mit Inv.förderung","ohne Inv.Förderung")</f>
        <v>mit Inv.förderung</v>
      </c>
      <c r="D42" s="275"/>
      <c r="E42" s="276">
        <f>IF($F$6=0," ",$I$10/100)</f>
        <v>0.4</v>
      </c>
      <c r="F42" s="277"/>
      <c r="G42" s="278">
        <v>0.75</v>
      </c>
      <c r="H42" s="278">
        <v>0.8</v>
      </c>
      <c r="I42" s="697">
        <v>0.85</v>
      </c>
      <c r="J42" s="698"/>
      <c r="K42" s="48"/>
      <c r="R42" s="36"/>
      <c r="S42" s="114" t="s">
        <v>145</v>
      </c>
    </row>
    <row r="43" spans="1:38" s="37" customFormat="1" ht="20.100000000000001" customHeight="1" x14ac:dyDescent="0.3">
      <c r="B43" s="279" t="s">
        <v>105</v>
      </c>
      <c r="C43" s="271"/>
      <c r="D43" s="280"/>
      <c r="E43" s="281"/>
      <c r="F43" s="282" t="s">
        <v>107</v>
      </c>
      <c r="G43" s="283">
        <v>20</v>
      </c>
      <c r="H43" s="284">
        <v>20</v>
      </c>
      <c r="I43" s="628">
        <v>20</v>
      </c>
      <c r="J43" s="629"/>
      <c r="K43" s="48"/>
      <c r="L43" s="61"/>
      <c r="M43" s="41"/>
      <c r="N43" s="41"/>
      <c r="O43" s="62"/>
      <c r="P43" s="181"/>
      <c r="Q43" s="34"/>
      <c r="R43" s="36"/>
      <c r="S43" s="114" t="s">
        <v>179</v>
      </c>
    </row>
    <row r="44" spans="1:38" s="37" customFormat="1" ht="20.100000000000001" customHeight="1" x14ac:dyDescent="0.3">
      <c r="B44" s="279" t="s">
        <v>111</v>
      </c>
      <c r="C44" s="285"/>
      <c r="D44" s="285"/>
      <c r="E44" s="286"/>
      <c r="F44" s="287" t="s">
        <v>107</v>
      </c>
      <c r="G44" s="288">
        <f>$E$28*30.4-G43-$E$29</f>
        <v>330.79999999999995</v>
      </c>
      <c r="H44" s="289">
        <f>$E$28*30.4-H43-$E$29</f>
        <v>330.79999999999995</v>
      </c>
      <c r="I44" s="610">
        <f>$E$28*30.4-I43-$E$29</f>
        <v>330.79999999999995</v>
      </c>
      <c r="J44" s="611">
        <f>$E$28*30.4-J43-$E$29</f>
        <v>350.79999999999995</v>
      </c>
      <c r="K44" s="48"/>
      <c r="L44" s="61"/>
      <c r="M44" s="41"/>
      <c r="N44" s="41"/>
      <c r="O44" s="62"/>
      <c r="P44" s="181"/>
      <c r="Q44" s="34"/>
      <c r="R44" s="36"/>
      <c r="S44" s="114"/>
    </row>
    <row r="45" spans="1:38" s="37" customFormat="1" ht="20.100000000000001" customHeight="1" x14ac:dyDescent="0.3">
      <c r="B45" s="279" t="s">
        <v>207</v>
      </c>
      <c r="C45" s="285"/>
      <c r="D45" s="285"/>
      <c r="E45" s="286"/>
      <c r="F45" s="287" t="s">
        <v>112</v>
      </c>
      <c r="G45" s="288">
        <f>G42*G44-((G42*G44)*$E$26/2)</f>
        <v>233.21399999999997</v>
      </c>
      <c r="H45" s="289">
        <f>H42*H44-((H42*H44)*$E$26/2)</f>
        <v>248.76159999999999</v>
      </c>
      <c r="I45" s="610">
        <f>I42*I44-((I42*I44)*$E$26/2)</f>
        <v>264.30919999999998</v>
      </c>
      <c r="J45" s="611">
        <f>J42*J44-((J42*J44)*$E$26/2)</f>
        <v>0</v>
      </c>
      <c r="K45" s="48"/>
      <c r="L45" s="61"/>
      <c r="M45" s="41"/>
      <c r="N45" s="41"/>
      <c r="O45" s="62"/>
      <c r="P45" s="181"/>
      <c r="Q45" s="34"/>
      <c r="R45" s="36"/>
      <c r="S45" s="114" t="s">
        <v>288</v>
      </c>
    </row>
    <row r="46" spans="1:38" s="37" customFormat="1" ht="20.100000000000001" customHeight="1" x14ac:dyDescent="0.3">
      <c r="A46" s="221"/>
      <c r="B46" s="290" t="s">
        <v>208</v>
      </c>
      <c r="C46" s="291"/>
      <c r="D46" s="291"/>
      <c r="E46" s="292"/>
      <c r="F46" s="293" t="s">
        <v>112</v>
      </c>
      <c r="G46" s="294">
        <f>G45-(G45*$C$27)</f>
        <v>223.88543999999996</v>
      </c>
      <c r="H46" s="295">
        <f>H45-(H45*$C$27)</f>
        <v>238.81113599999998</v>
      </c>
      <c r="I46" s="699">
        <f>I45-(I45*$C$27)</f>
        <v>253.73683199999996</v>
      </c>
      <c r="J46" s="700"/>
      <c r="K46" s="48"/>
      <c r="L46" s="61"/>
      <c r="M46" s="41"/>
      <c r="N46" s="41"/>
      <c r="O46" s="62"/>
      <c r="P46" s="181"/>
      <c r="Q46" s="34"/>
      <c r="R46" s="36"/>
      <c r="S46" s="114" t="s">
        <v>306</v>
      </c>
    </row>
    <row r="47" spans="1:38" ht="20.100000000000001" customHeight="1" x14ac:dyDescent="0.25">
      <c r="B47" s="296" t="str">
        <f>"Eierpreis A-Ware Ø aus allen Vermarktugsformen"&amp;IF($J$7=""," (inkl. 10,7 % Mwst.)"," (ohne Mwst.)")</f>
        <v>Eierpreis A-Ware Ø aus allen Vermarktugsformen (inkl. 10,7 % Mwst.)</v>
      </c>
      <c r="C47" s="297"/>
      <c r="D47" s="297"/>
      <c r="E47" s="298"/>
      <c r="F47" s="299" t="s">
        <v>293</v>
      </c>
      <c r="G47" s="300">
        <f>E23*$K$9</f>
        <v>40.294799999999995</v>
      </c>
      <c r="H47" s="301">
        <f>E23*$K$9</f>
        <v>40.294799999999995</v>
      </c>
      <c r="I47" s="691">
        <f>E23*$K$9</f>
        <v>40.294799999999995</v>
      </c>
      <c r="J47" s="692"/>
      <c r="K47" s="11"/>
      <c r="L47" s="15"/>
      <c r="M47" s="58"/>
      <c r="N47" s="58"/>
      <c r="O47" s="59"/>
      <c r="P47" s="180"/>
      <c r="Q47" s="36"/>
      <c r="R47" s="2"/>
      <c r="S47" s="112"/>
    </row>
    <row r="48" spans="1:38" ht="20.100000000000001" customHeight="1" x14ac:dyDescent="0.25">
      <c r="B48" s="279" t="str">
        <f>"Erlös vermarktete Eier je 100 eingestallter Hennen"&amp;IF($J$7=""," (inkl. 10,7 % Mwst.)"," (ohne Mwst.)")</f>
        <v>Erlös vermarktete Eier je 100 eingestallter Hennen (inkl. 10,7 % Mwst.)</v>
      </c>
      <c r="C48" s="302"/>
      <c r="D48" s="302"/>
      <c r="E48" s="303"/>
      <c r="F48" s="304" t="s">
        <v>9</v>
      </c>
      <c r="G48" s="305">
        <f>G46*G47/100*100</f>
        <v>9021.4190277119978</v>
      </c>
      <c r="H48" s="305">
        <f>H46*H47/100*100</f>
        <v>9622.8469628927978</v>
      </c>
      <c r="I48" s="622">
        <f t="shared" ref="I48:J48" si="2">I46*I47/100*100</f>
        <v>10224.274898073598</v>
      </c>
      <c r="J48" s="623">
        <f t="shared" si="2"/>
        <v>0</v>
      </c>
      <c r="K48" s="13"/>
      <c r="S48" s="112"/>
    </row>
    <row r="49" spans="2:27" ht="20.100000000000001" customHeight="1" x14ac:dyDescent="0.25">
      <c r="B49" s="279" t="str">
        <f>"Erlös Knickeier je 100 eingestallter Hennen"&amp;IF($J$7=""," (inkl. 10,7 % Mwst.)"," (ohne Mwst.)")</f>
        <v>Erlös Knickeier je 100 eingestallter Hennen (inkl. 10,7 % Mwst.)</v>
      </c>
      <c r="C49" s="302"/>
      <c r="D49" s="302"/>
      <c r="E49" s="303"/>
      <c r="F49" s="304" t="s">
        <v>9</v>
      </c>
      <c r="G49" s="305">
        <f>G45*100*$C$27*$E$27/100</f>
        <v>74.628479999999996</v>
      </c>
      <c r="H49" s="305">
        <f>H45*100*$C$27*$E$27/100</f>
        <v>79.603712000000002</v>
      </c>
      <c r="I49" s="622">
        <f>I45*100*$C$27*$E$27/100</f>
        <v>84.578943999999993</v>
      </c>
      <c r="J49" s="623"/>
      <c r="K49" s="13"/>
      <c r="S49" s="112"/>
    </row>
    <row r="50" spans="2:27" ht="20.100000000000001" customHeight="1" x14ac:dyDescent="0.25">
      <c r="B50" s="279" t="str">
        <f>"Alttiererlös nach Hennenverlusten"&amp;IF($J$7=""," (inkl. 10,7 % Mwst.)"," (ohne Mwst.)")</f>
        <v>Alttiererlös nach Hennenverlusten (inkl. 10,7 % Mwst.)</v>
      </c>
      <c r="C50" s="302"/>
      <c r="D50" s="302"/>
      <c r="E50" s="303"/>
      <c r="F50" s="304" t="s">
        <v>9</v>
      </c>
      <c r="G50" s="306">
        <f>$E$25*100*(1-$E$26)*$K$9</f>
        <v>97.415999999999997</v>
      </c>
      <c r="H50" s="306">
        <f>$E$25*100*(1-$E$26)*$K$9</f>
        <v>97.415999999999997</v>
      </c>
      <c r="I50" s="693">
        <f>$E$25*100*(1-$E$26)*$K$9</f>
        <v>97.415999999999997</v>
      </c>
      <c r="J50" s="694"/>
      <c r="K50" s="13"/>
      <c r="L50" s="13"/>
      <c r="M50" s="47"/>
      <c r="N50" s="47"/>
      <c r="O50" s="66"/>
      <c r="P50" s="66"/>
      <c r="Q50" s="66"/>
      <c r="R50" s="66"/>
      <c r="S50" s="112"/>
    </row>
    <row r="51" spans="2:27" ht="20.100000000000001" customHeight="1" x14ac:dyDescent="0.25">
      <c r="B51" s="279" t="str">
        <f>"Düngerwert"&amp;IF($J$7=""," (inkl. 19 % Mwst.)"," (ohne Mwst.)")</f>
        <v>Düngerwert (inkl. 19 % Mwst.)</v>
      </c>
      <c r="C51" s="302"/>
      <c r="D51" s="302"/>
      <c r="E51" s="303"/>
      <c r="F51" s="304" t="s">
        <v>9</v>
      </c>
      <c r="G51" s="307">
        <f>((($I$23*$I$24)/$I$25)-(($I$23*$I$24)/$I$25)*$E$26%/2)*$K$10</f>
        <v>240.65287838592002</v>
      </c>
      <c r="H51" s="307">
        <f>((($I$23*$I$24)/$I$25)-(($I$23*$I$24)/$I$25)*$E$26%/2)*$K$10</f>
        <v>240.65287838592002</v>
      </c>
      <c r="I51" s="620">
        <f>((($I$23*$I$24)/$I$25)-(($I$23*$I$24)/$I$25)*$E$26%/2)*$K$10</f>
        <v>240.65287838592002</v>
      </c>
      <c r="J51" s="621">
        <f>((($I$23*$I$24)/$I$25)-(($I$23*$I$24)/$I$25)*$E$26%/2)*$K$10</f>
        <v>240.65287838592002</v>
      </c>
      <c r="K51" s="13"/>
      <c r="L51" s="13"/>
      <c r="M51" s="47"/>
      <c r="N51" s="47"/>
      <c r="O51" s="65"/>
      <c r="P51" s="65"/>
      <c r="Q51" s="139"/>
      <c r="R51" s="67"/>
      <c r="S51" s="114"/>
    </row>
    <row r="52" spans="2:27" s="44" customFormat="1" ht="20.100000000000001" customHeight="1" x14ac:dyDescent="0.35">
      <c r="B52" s="308" t="str">
        <f>"Summe Leistung (inkl. Düngerwert)"&amp;IF($J$7=""," (brutto)"," (netto) ")</f>
        <v>Summe Leistung (inkl. Düngerwert) (brutto)</v>
      </c>
      <c r="C52" s="309"/>
      <c r="D52" s="309"/>
      <c r="E52" s="310" t="s">
        <v>180</v>
      </c>
      <c r="F52" s="311" t="s">
        <v>9</v>
      </c>
      <c r="G52" s="312">
        <f>G48+G49+G50+G51</f>
        <v>9434.1163860979159</v>
      </c>
      <c r="H52" s="312">
        <f>H48+H49+H50+H51</f>
        <v>10040.519553278717</v>
      </c>
      <c r="I52" s="599">
        <f>I48+I49+I50+I51</f>
        <v>10646.922720459517</v>
      </c>
      <c r="J52" s="600">
        <f t="shared" ref="J52" si="3">J48+J49+J50+J51</f>
        <v>240.65287838592002</v>
      </c>
      <c r="K52" s="43"/>
      <c r="L52" s="13"/>
      <c r="M52" s="47"/>
      <c r="N52" s="47"/>
      <c r="O52" s="65"/>
      <c r="P52" s="65"/>
      <c r="Q52" s="139"/>
      <c r="R52" s="67"/>
      <c r="S52" s="114"/>
      <c r="T52" s="45"/>
      <c r="U52" s="45"/>
      <c r="V52" s="45"/>
      <c r="W52" s="45"/>
      <c r="X52" s="45"/>
      <c r="Y52" s="45"/>
      <c r="Z52" s="45"/>
      <c r="AA52" s="45"/>
    </row>
    <row r="53" spans="2:27" s="44" customFormat="1" ht="20.100000000000001" customHeight="1" x14ac:dyDescent="0.35">
      <c r="B53" s="279" t="s">
        <v>209</v>
      </c>
      <c r="C53" s="302"/>
      <c r="D53" s="302"/>
      <c r="E53" s="303"/>
      <c r="F53" s="304" t="s">
        <v>5</v>
      </c>
      <c r="G53" s="313">
        <f>$E$31/100000*(100-(100*$E$26)/2)*($E$28*30.4-$E$29)</f>
        <v>44.51652</v>
      </c>
      <c r="H53" s="313">
        <f>$E$31/100000*(100-(100*$E$26)/2)*($E$28*30.4-$E$29)</f>
        <v>44.51652</v>
      </c>
      <c r="I53" s="679">
        <f t="shared" ref="I53:J53" si="4">$E$31/100000*(100-(100*$E$26)/2)*($E$28*30.4-$E$29)</f>
        <v>44.51652</v>
      </c>
      <c r="J53" s="680">
        <f t="shared" si="4"/>
        <v>44.51652</v>
      </c>
      <c r="K53" s="43"/>
      <c r="L53" s="13"/>
      <c r="M53" s="47"/>
      <c r="N53" s="47"/>
      <c r="O53" s="65"/>
      <c r="P53" s="65"/>
      <c r="Q53" s="139"/>
      <c r="R53" s="67"/>
      <c r="S53" s="114" t="s">
        <v>178</v>
      </c>
      <c r="T53" s="45"/>
      <c r="U53" s="45"/>
      <c r="V53" s="45"/>
      <c r="W53" s="45"/>
      <c r="X53" s="45"/>
      <c r="Y53" s="45"/>
      <c r="Z53" s="45"/>
      <c r="AA53" s="45"/>
    </row>
    <row r="54" spans="2:27" s="44" customFormat="1" ht="20.100000000000001" customHeight="1" x14ac:dyDescent="0.35">
      <c r="B54" s="314" t="s">
        <v>214</v>
      </c>
      <c r="C54" s="315"/>
      <c r="D54" s="315"/>
      <c r="E54" s="316"/>
      <c r="F54" s="317" t="s">
        <v>5</v>
      </c>
      <c r="G54" s="318">
        <f>$C$32/100*100/I25</f>
        <v>4</v>
      </c>
      <c r="H54" s="318">
        <f>$C$32/100*100/I25</f>
        <v>4</v>
      </c>
      <c r="I54" s="687">
        <f>$C$32/100*100/I25</f>
        <v>4</v>
      </c>
      <c r="J54" s="688">
        <f>$C$32*100</f>
        <v>400</v>
      </c>
      <c r="K54" s="43"/>
      <c r="L54" s="13"/>
      <c r="M54" s="47"/>
      <c r="N54" s="47"/>
      <c r="O54" s="65"/>
      <c r="P54" s="65"/>
      <c r="Q54" s="139"/>
      <c r="R54" s="67"/>
      <c r="S54" s="114"/>
      <c r="T54" s="45"/>
      <c r="U54" s="45"/>
      <c r="V54" s="45"/>
      <c r="W54" s="45"/>
      <c r="X54" s="45"/>
      <c r="Y54" s="45"/>
      <c r="Z54" s="45"/>
      <c r="AA54" s="45"/>
    </row>
    <row r="55" spans="2:27" s="44" customFormat="1" ht="20.100000000000001" customHeight="1" x14ac:dyDescent="0.35">
      <c r="B55" s="279" t="str">
        <f>"Futterkosten gesamt je Durchgang"&amp;IF($J$7=""," (inkl.7 % Mwst.)"," (ohne Mwst.)")</f>
        <v>Futterkosten gesamt je Durchgang (inkl.7 % Mwst.)</v>
      </c>
      <c r="C55" s="302"/>
      <c r="D55" s="302"/>
      <c r="E55" s="303"/>
      <c r="F55" s="304" t="s">
        <v>9</v>
      </c>
      <c r="G55" s="305">
        <f>G53*$E$30*$K$11+G54*$E$32*$K$11</f>
        <v>2931.2732604000003</v>
      </c>
      <c r="H55" s="305">
        <f>H53*$E$30*$K$11+H54*$E$32*$K$11</f>
        <v>2931.2732604000003</v>
      </c>
      <c r="I55" s="673">
        <f>I53*$E$30*$K$11+I54*$E$32*$K$11</f>
        <v>2931.2732604000003</v>
      </c>
      <c r="J55" s="674">
        <f>J53*$E$30*$K$11+J54*$E$32*$K$11</f>
        <v>5473.5932604000009</v>
      </c>
      <c r="K55" s="43"/>
      <c r="L55" s="13"/>
      <c r="M55" s="47"/>
      <c r="N55" s="47"/>
      <c r="O55" s="65"/>
      <c r="P55" s="65"/>
      <c r="Q55" s="139"/>
      <c r="R55" s="67"/>
      <c r="S55" s="114"/>
      <c r="T55" s="45"/>
      <c r="U55" s="45"/>
      <c r="V55" s="45"/>
      <c r="W55" s="45"/>
      <c r="X55" s="45"/>
      <c r="Y55" s="45"/>
      <c r="Z55" s="45"/>
      <c r="AA55" s="45"/>
    </row>
    <row r="56" spans="2:27" ht="20.100000000000001" customHeight="1" x14ac:dyDescent="0.3">
      <c r="B56" s="279" t="str">
        <f>"Kosten Jungtiere"&amp;IF($J$7=""," (inkl. 7 % Mwst.)","")</f>
        <v>Kosten Jungtiere (inkl. 7 % Mwst.)</v>
      </c>
      <c r="C56" s="302"/>
      <c r="D56" s="302"/>
      <c r="E56" s="303"/>
      <c r="F56" s="304" t="s">
        <v>9</v>
      </c>
      <c r="G56" s="305">
        <f>$E$24*$K$11*100</f>
        <v>1177.0000000000002</v>
      </c>
      <c r="H56" s="305">
        <f>$E$24*$K$11*100</f>
        <v>1177.0000000000002</v>
      </c>
      <c r="I56" s="622">
        <f>$E$24*$K$11*100</f>
        <v>1177.0000000000002</v>
      </c>
      <c r="J56" s="623"/>
      <c r="L56" s="64"/>
      <c r="M56" s="41"/>
      <c r="N56" s="41"/>
      <c r="O56" s="63"/>
      <c r="P56" s="63"/>
      <c r="Q56" s="139"/>
      <c r="R56" s="67"/>
      <c r="S56" s="114"/>
    </row>
    <row r="57" spans="2:27" ht="20.100000000000001" customHeight="1" x14ac:dyDescent="0.3">
      <c r="B57" s="279" t="str">
        <f>"Sonstige variable Kosten je Durchgang"&amp;IF($J$7=""," (brutto)"," (netto)")&amp;" inkl. Zinsansatz"</f>
        <v>Sonstige variable Kosten je Durchgang (brutto) inkl. Zinsansatz</v>
      </c>
      <c r="C57" s="302"/>
      <c r="D57" s="302"/>
      <c r="E57" s="303"/>
      <c r="F57" s="304" t="s">
        <v>9</v>
      </c>
      <c r="G57" s="307">
        <f>$I$26/$I$25</f>
        <v>312.67999999999995</v>
      </c>
      <c r="H57" s="307">
        <f>$I$26/$I$25</f>
        <v>312.67999999999995</v>
      </c>
      <c r="I57" s="620">
        <f>$I$26/$I$25</f>
        <v>312.67999999999995</v>
      </c>
      <c r="J57" s="621">
        <f>$I$26/$I$25</f>
        <v>312.67999999999995</v>
      </c>
      <c r="L57" s="64"/>
      <c r="M57" s="41"/>
      <c r="N57" s="41"/>
      <c r="O57" s="63"/>
      <c r="P57" s="63"/>
      <c r="Q57" s="139"/>
      <c r="R57" s="67"/>
      <c r="S57" s="114"/>
    </row>
    <row r="58" spans="2:27" ht="20.100000000000001" customHeight="1" x14ac:dyDescent="0.3">
      <c r="B58" s="279" t="str">
        <f>"Vermarktung je Durchgang"&amp;IF($J$7=""," (inkl. 19 % Mwst.)"," (ohne Mwst.)")</f>
        <v>Vermarktung je Durchgang (inkl. 19 % Mwst.)</v>
      </c>
      <c r="C58" s="302"/>
      <c r="D58" s="302"/>
      <c r="E58" s="303"/>
      <c r="F58" s="304" t="s">
        <v>9</v>
      </c>
      <c r="G58" s="307">
        <f>100*(G45*$C$20*$G$20/100+G45*$C$21*$G$21/100+G45*$C$22*$G$22/100)*$K$10</f>
        <v>1179.4798049999997</v>
      </c>
      <c r="H58" s="307">
        <f>100*(H45*$C$20*$G$20/100+H45*$C$21*$G$21/100+H45*$C$22*$G$22/100)*$K$10</f>
        <v>1258.1117919999999</v>
      </c>
      <c r="I58" s="620">
        <f>100*(I45*$C$20*$G$20/100+I45*$C$21*$G$21/100+I45*$C$22*$G$22/100)*$K$10</f>
        <v>1336.7437789999997</v>
      </c>
      <c r="J58" s="621">
        <f t="shared" ref="J58" si="5">100*(J45*$C$20*$G$20/100+J45*$C$21*$G$21/100+J45*$C$22*$G$22/100)*$K$10</f>
        <v>0</v>
      </c>
      <c r="L58" s="64"/>
      <c r="M58" s="41"/>
      <c r="N58" s="41"/>
      <c r="O58" s="63"/>
      <c r="P58" s="63"/>
      <c r="Q58" s="139"/>
      <c r="R58" s="67"/>
      <c r="S58" s="114" t="s">
        <v>128</v>
      </c>
    </row>
    <row r="59" spans="2:27" s="44" customFormat="1" ht="20.100000000000001" customHeight="1" x14ac:dyDescent="0.35">
      <c r="B59" s="290" t="str">
        <f>"Summe variable Kosten"&amp;IF($J$7=""," (brutto)"," (netto) ")</f>
        <v>Summe variable Kosten (brutto)</v>
      </c>
      <c r="C59" s="319"/>
      <c r="D59" s="319"/>
      <c r="E59" s="320" t="s">
        <v>134</v>
      </c>
      <c r="F59" s="321" t="s">
        <v>9</v>
      </c>
      <c r="G59" s="322">
        <f>SUM(G55:G58)</f>
        <v>5600.4330654000005</v>
      </c>
      <c r="H59" s="322">
        <f>SUM(H55:H58)</f>
        <v>5679.0650524000002</v>
      </c>
      <c r="I59" s="618">
        <f>I55+I56+I57+I58</f>
        <v>5757.6970394</v>
      </c>
      <c r="J59" s="619"/>
      <c r="K59" s="46"/>
      <c r="L59" s="46"/>
      <c r="M59" s="45"/>
      <c r="N59" s="45"/>
      <c r="O59" s="45"/>
      <c r="P59" s="45"/>
      <c r="Q59" s="45"/>
      <c r="R59" s="45"/>
      <c r="S59" s="224"/>
      <c r="T59" s="45"/>
      <c r="U59" s="45"/>
    </row>
    <row r="60" spans="2:27" s="44" customFormat="1" ht="20.100000000000001" customHeight="1" x14ac:dyDescent="0.35">
      <c r="B60" s="290"/>
      <c r="C60" s="302"/>
      <c r="D60" s="319"/>
      <c r="E60" s="320" t="s">
        <v>155</v>
      </c>
      <c r="F60" s="321" t="s">
        <v>9</v>
      </c>
      <c r="G60" s="323">
        <f>G59/100/G46</f>
        <v>0.25014726573554769</v>
      </c>
      <c r="H60" s="323">
        <f>H59/100/H46</f>
        <v>0.23780570485624258</v>
      </c>
      <c r="I60" s="669">
        <f t="shared" ref="I60:J60" si="6">I59/100/I46</f>
        <v>0.2269160923156793</v>
      </c>
      <c r="J60" s="670" t="e">
        <f t="shared" si="6"/>
        <v>#DIV/0!</v>
      </c>
      <c r="K60" s="46"/>
      <c r="L60" s="46"/>
      <c r="M60" s="45"/>
      <c r="N60" s="45"/>
      <c r="O60" s="45"/>
      <c r="P60" s="45"/>
      <c r="Q60" s="45"/>
      <c r="R60" s="45"/>
      <c r="S60" s="224"/>
      <c r="T60" s="45"/>
      <c r="U60" s="45"/>
    </row>
    <row r="61" spans="2:27" s="37" customFormat="1" ht="20.100000000000001" customHeight="1" x14ac:dyDescent="0.3">
      <c r="B61" s="344" t="s">
        <v>133</v>
      </c>
      <c r="C61" s="444"/>
      <c r="D61" s="345"/>
      <c r="E61" s="445" t="s">
        <v>134</v>
      </c>
      <c r="F61" s="347" t="s">
        <v>9</v>
      </c>
      <c r="G61" s="348">
        <f>G52-G59</f>
        <v>3833.6833206979154</v>
      </c>
      <c r="H61" s="348">
        <f>H52-H59</f>
        <v>4361.4545008787163</v>
      </c>
      <c r="I61" s="616">
        <f>I52-I59</f>
        <v>4889.2256810595172</v>
      </c>
      <c r="J61" s="617"/>
      <c r="K61" s="48"/>
      <c r="L61" s="48"/>
      <c r="M61" s="34"/>
      <c r="N61" s="34"/>
      <c r="O61" s="34"/>
      <c r="P61" s="34"/>
      <c r="Q61" s="34"/>
      <c r="R61" s="34"/>
      <c r="S61" s="225"/>
      <c r="T61" s="34"/>
      <c r="U61" s="34"/>
    </row>
    <row r="62" spans="2:27" s="37" customFormat="1" ht="20.100000000000001" customHeight="1" x14ac:dyDescent="0.3">
      <c r="B62" s="349"/>
      <c r="C62" s="350"/>
      <c r="D62" s="350"/>
      <c r="E62" s="340" t="s">
        <v>135</v>
      </c>
      <c r="F62" s="341" t="s">
        <v>9</v>
      </c>
      <c r="G62" s="369">
        <f>G61*$I$25</f>
        <v>3833.6833206979154</v>
      </c>
      <c r="H62" s="369">
        <f>H61*$I$25</f>
        <v>4361.4545008787163</v>
      </c>
      <c r="I62" s="624">
        <f>I61*$I$25</f>
        <v>4889.2256810595172</v>
      </c>
      <c r="J62" s="625"/>
      <c r="K62" s="48"/>
      <c r="L62" s="48"/>
      <c r="M62" s="34"/>
      <c r="N62" s="34"/>
      <c r="O62" s="34"/>
      <c r="P62" s="34"/>
      <c r="Q62" s="34"/>
      <c r="R62" s="34"/>
      <c r="S62" s="225"/>
      <c r="T62" s="34"/>
      <c r="U62" s="34"/>
    </row>
    <row r="63" spans="2:27" s="44" customFormat="1" ht="20.100000000000001" customHeight="1" x14ac:dyDescent="0.35">
      <c r="B63" s="328" t="s">
        <v>225</v>
      </c>
      <c r="C63" s="329"/>
      <c r="D63" s="329"/>
      <c r="E63" s="330"/>
      <c r="F63" s="331" t="s">
        <v>1</v>
      </c>
      <c r="G63" s="332">
        <f>G61/(G64+G65+G66+G72)</f>
        <v>0.78545985931647622</v>
      </c>
      <c r="H63" s="332">
        <f>H61/(H64+H65+H66+H72)</f>
        <v>0.87719858297105935</v>
      </c>
      <c r="I63" s="671">
        <f t="shared" ref="I63:J63" si="7">I61/(I64+I65+I66+I72)</f>
        <v>0.96563202069064979</v>
      </c>
      <c r="J63" s="672">
        <f t="shared" si="7"/>
        <v>0</v>
      </c>
      <c r="K63" s="46"/>
      <c r="L63" s="46"/>
      <c r="M63" s="45"/>
      <c r="N63" s="45"/>
      <c r="O63" s="45"/>
      <c r="P63" s="45"/>
      <c r="Q63" s="45"/>
      <c r="R63" s="45"/>
      <c r="S63" s="224"/>
      <c r="T63" s="45"/>
      <c r="U63" s="45"/>
    </row>
    <row r="64" spans="2:27" ht="20.100000000000001" customHeight="1" x14ac:dyDescent="0.25">
      <c r="B64" s="279" t="str">
        <f>"Festkosten Stall"&amp;IF($J$7=""," (inkl. 19 % Mwst.)","")</f>
        <v>Festkosten Stall (inkl. 19 % Mwst.)</v>
      </c>
      <c r="D64" s="333"/>
      <c r="E64" s="441" t="str">
        <f>"(entsprechen "&amp;ROUND(100/$E$35+$E$36+$I$9/2,1)&amp;" % der Inv.kosten)"</f>
        <v>(entsprechen 11,6 % der Inv.kosten)</v>
      </c>
      <c r="F64" s="304" t="s">
        <v>9</v>
      </c>
      <c r="G64" s="305">
        <f>($E$34*100/$I$25)*$K$64/100</f>
        <v>1372.625</v>
      </c>
      <c r="H64" s="305">
        <f>($E$34*100/$I$25)*$K$64/100</f>
        <v>1372.625</v>
      </c>
      <c r="I64" s="673">
        <f>($E$34*100/$I$25)*$K$64/100</f>
        <v>1372.625</v>
      </c>
      <c r="J64" s="674">
        <f>($E$34*100/$I$25)*$K$64/100</f>
        <v>1372.625</v>
      </c>
      <c r="K64" s="197">
        <f>100/$E$35+$E$36+$I$9/2</f>
        <v>11.583333333333334</v>
      </c>
      <c r="L64" s="198"/>
      <c r="M64"/>
      <c r="N64"/>
      <c r="O64"/>
      <c r="P64"/>
      <c r="Q64"/>
      <c r="R64"/>
      <c r="S64" s="112"/>
      <c r="T64"/>
      <c r="U64"/>
    </row>
    <row r="65" spans="2:25" ht="20.100000000000001" customHeight="1" x14ac:dyDescent="0.3">
      <c r="B65" s="279" t="s">
        <v>78</v>
      </c>
      <c r="C65" s="335"/>
      <c r="D65" s="335"/>
      <c r="E65" s="336"/>
      <c r="F65" s="304" t="s">
        <v>9</v>
      </c>
      <c r="G65" s="305">
        <f>($E$37*$E$38/10000)/$I$25*100</f>
        <v>10</v>
      </c>
      <c r="H65" s="305">
        <f>($E$37*$E$38/10000)/$I$25*100</f>
        <v>10</v>
      </c>
      <c r="I65" s="622">
        <f>($E$37*$E$38/10000)/$I$25*100</f>
        <v>10</v>
      </c>
      <c r="J65" s="623">
        <f>($E$37*$E$38/10000)/$I$25*100</f>
        <v>10</v>
      </c>
      <c r="K65" s="48"/>
      <c r="L65" s="11"/>
      <c r="M65"/>
      <c r="N65"/>
      <c r="O65"/>
      <c r="P65"/>
      <c r="Q65"/>
      <c r="R65"/>
      <c r="S65" s="112"/>
      <c r="T65"/>
      <c r="U65"/>
    </row>
    <row r="66" spans="2:25" ht="20.100000000000001" customHeight="1" x14ac:dyDescent="0.25">
      <c r="B66" s="279" t="str">
        <f>"Gemeinkosten"&amp;IF($J$7=""," (inkl. 19 % Mwst.)"," (ohne Mwst.)")</f>
        <v>Gemeinkosten (inkl. 19 % Mwst.)</v>
      </c>
      <c r="C66" s="302"/>
      <c r="D66" s="302"/>
      <c r="E66" s="303"/>
      <c r="F66" s="304" t="s">
        <v>9</v>
      </c>
      <c r="G66" s="307">
        <f>H66</f>
        <v>50</v>
      </c>
      <c r="H66" s="307">
        <f>$I$36/$I$25</f>
        <v>50</v>
      </c>
      <c r="I66" s="620">
        <f>H66</f>
        <v>50</v>
      </c>
      <c r="J66" s="621"/>
      <c r="K66" s="11"/>
      <c r="L66" s="11"/>
      <c r="M66"/>
      <c r="N66"/>
      <c r="O66"/>
      <c r="P66"/>
      <c r="Q66"/>
      <c r="R66"/>
      <c r="S66" s="112"/>
      <c r="T66"/>
      <c r="U66"/>
    </row>
    <row r="67" spans="2:25" ht="20.100000000000001" customHeight="1" x14ac:dyDescent="0.25">
      <c r="B67" s="308" t="str">
        <f>"Summe Fest- und Gemeinkosten"&amp;IF($J$7=""," (brutto)"," (netto) ")</f>
        <v>Summe Fest- und Gemeinkosten (brutto)</v>
      </c>
      <c r="C67" s="309"/>
      <c r="D67" s="309"/>
      <c r="E67" s="310" t="s">
        <v>134</v>
      </c>
      <c r="F67" s="311" t="s">
        <v>9</v>
      </c>
      <c r="G67" s="312">
        <f>SUM(G64:G66)</f>
        <v>1432.625</v>
      </c>
      <c r="H67" s="312">
        <f>SUM(H64:H66)</f>
        <v>1432.625</v>
      </c>
      <c r="I67" s="599">
        <f>SUM(I64:I66)</f>
        <v>1432.625</v>
      </c>
      <c r="J67" s="600"/>
      <c r="K67" s="11"/>
      <c r="L67" s="11"/>
      <c r="M67"/>
      <c r="N67"/>
      <c r="O67"/>
      <c r="P67"/>
      <c r="Q67"/>
      <c r="R67"/>
      <c r="S67" s="112"/>
      <c r="T67"/>
      <c r="U67"/>
    </row>
    <row r="68" spans="2:25" s="37" customFormat="1" ht="20.100000000000001" customHeight="1" x14ac:dyDescent="0.3">
      <c r="B68" s="324" t="s">
        <v>17</v>
      </c>
      <c r="C68" s="325"/>
      <c r="D68" s="325"/>
      <c r="E68" s="337" t="s">
        <v>134</v>
      </c>
      <c r="F68" s="326" t="s">
        <v>9</v>
      </c>
      <c r="G68" s="327">
        <f>G61-G67</f>
        <v>2401.0583206979154</v>
      </c>
      <c r="H68" s="327">
        <f>H61-H67</f>
        <v>2928.8295008787163</v>
      </c>
      <c r="I68" s="616">
        <f t="shared" ref="I68:J68" si="8">I61-I67</f>
        <v>3456.6006810595172</v>
      </c>
      <c r="J68" s="617">
        <f t="shared" si="8"/>
        <v>0</v>
      </c>
      <c r="K68" s="48"/>
      <c r="L68" s="48"/>
      <c r="M68" s="34"/>
      <c r="N68" s="34"/>
      <c r="O68" s="34"/>
      <c r="P68" s="34"/>
      <c r="Q68" s="34"/>
      <c r="R68" s="34"/>
      <c r="S68" s="226"/>
      <c r="T68" s="34"/>
      <c r="U68" s="34"/>
    </row>
    <row r="69" spans="2:25" s="37" customFormat="1" ht="20.100000000000001" customHeight="1" x14ac:dyDescent="0.3">
      <c r="B69" s="324"/>
      <c r="C69" s="325"/>
      <c r="D69" s="325"/>
      <c r="E69" s="337" t="s">
        <v>135</v>
      </c>
      <c r="F69" s="326" t="s">
        <v>9</v>
      </c>
      <c r="G69" s="327">
        <f>G68*$I$25</f>
        <v>2401.0583206979154</v>
      </c>
      <c r="H69" s="327">
        <f>H68*$I$25</f>
        <v>2928.8295008787163</v>
      </c>
      <c r="I69" s="626">
        <f>I68*$I$25</f>
        <v>3456.6006810595172</v>
      </c>
      <c r="J69" s="627"/>
      <c r="K69" s="48"/>
      <c r="L69" s="48"/>
      <c r="M69" s="34"/>
      <c r="N69" s="34"/>
      <c r="O69" s="34"/>
      <c r="P69" s="34"/>
      <c r="Q69" s="34"/>
      <c r="R69" s="34"/>
      <c r="S69" s="226"/>
      <c r="T69" s="34"/>
      <c r="U69" s="34"/>
    </row>
    <row r="70" spans="2:25" ht="20.100000000000001" customHeight="1" x14ac:dyDescent="0.25">
      <c r="B70" s="338"/>
      <c r="C70" s="339"/>
      <c r="D70" s="339"/>
      <c r="E70" s="340" t="s">
        <v>136</v>
      </c>
      <c r="F70" s="341" t="s">
        <v>9</v>
      </c>
      <c r="G70" s="342">
        <f>G69/G71</f>
        <v>11.141191900851441</v>
      </c>
      <c r="H70" s="342">
        <f>H69/H71</f>
        <v>13.2398863238827</v>
      </c>
      <c r="I70" s="675">
        <f t="shared" ref="I70:J70" si="9">I69/I71</f>
        <v>15.23312897024279</v>
      </c>
      <c r="J70" s="676">
        <f t="shared" si="9"/>
        <v>0</v>
      </c>
      <c r="K70" s="11"/>
      <c r="L70" s="1"/>
      <c r="M70"/>
      <c r="N70"/>
      <c r="O70"/>
      <c r="P70"/>
      <c r="Q70"/>
      <c r="R70"/>
      <c r="S70" s="547" t="s">
        <v>103</v>
      </c>
      <c r="T70"/>
      <c r="U70"/>
    </row>
    <row r="71" spans="2:25" ht="20.100000000000001" customHeight="1" x14ac:dyDescent="0.25">
      <c r="B71" s="279" t="s">
        <v>210</v>
      </c>
      <c r="C71" s="335"/>
      <c r="D71" s="335"/>
      <c r="E71" s="336"/>
      <c r="F71" s="304" t="s">
        <v>124</v>
      </c>
      <c r="G71" s="305">
        <f>$I$37+((G45*100)/1000*$I$38)*$I$25</f>
        <v>215.51179999999999</v>
      </c>
      <c r="H71" s="305">
        <f>$I$37+((H45*100)/1000*$I$38)*$I$25</f>
        <v>221.21258666666665</v>
      </c>
      <c r="I71" s="673">
        <f t="shared" ref="I71:J71" si="10">$I$37+((I45*100)/1000*$I$38)*$I$25</f>
        <v>226.91337333333331</v>
      </c>
      <c r="J71" s="674">
        <f t="shared" si="10"/>
        <v>130</v>
      </c>
      <c r="K71" s="11"/>
      <c r="L71" s="1"/>
      <c r="M71"/>
      <c r="N71"/>
      <c r="O71"/>
      <c r="P71"/>
      <c r="Q71"/>
      <c r="R71"/>
      <c r="S71" s="547" t="s">
        <v>130</v>
      </c>
      <c r="T71"/>
      <c r="U71"/>
    </row>
    <row r="72" spans="2:25" s="47" customFormat="1" ht="20.100000000000001" customHeight="1" x14ac:dyDescent="0.25">
      <c r="B72" s="279" t="s">
        <v>194</v>
      </c>
      <c r="C72" s="302"/>
      <c r="D72" s="302"/>
      <c r="E72" s="343">
        <f>I11</f>
        <v>16</v>
      </c>
      <c r="F72" s="304" t="s">
        <v>9</v>
      </c>
      <c r="G72" s="305">
        <f>G71*$I$11</f>
        <v>3448.1887999999999</v>
      </c>
      <c r="H72" s="305">
        <f>H71*$I$11</f>
        <v>3539.4013866666664</v>
      </c>
      <c r="I72" s="622">
        <f>I71*$I$11</f>
        <v>3630.613973333333</v>
      </c>
      <c r="J72" s="623">
        <f>J71*$I$11</f>
        <v>2080</v>
      </c>
      <c r="K72" s="15"/>
      <c r="M72" s="38"/>
      <c r="N72" s="38"/>
      <c r="O72" s="38"/>
      <c r="P72" s="38"/>
      <c r="Q72" s="38"/>
      <c r="R72" s="38"/>
      <c r="S72" s="547"/>
      <c r="T72" s="38"/>
      <c r="U72" s="38"/>
    </row>
    <row r="73" spans="2:25" s="37" customFormat="1" ht="20.100000000000001" customHeight="1" x14ac:dyDescent="0.3">
      <c r="B73" s="344" t="s">
        <v>211</v>
      </c>
      <c r="C73" s="345"/>
      <c r="D73" s="345"/>
      <c r="E73" s="346"/>
      <c r="F73" s="347" t="s">
        <v>9</v>
      </c>
      <c r="G73" s="348">
        <f>(G69-G72)</f>
        <v>-1047.1304793020845</v>
      </c>
      <c r="H73" s="348">
        <f>(H69-H72)</f>
        <v>-610.57188578795012</v>
      </c>
      <c r="I73" s="616">
        <f>(I69-I72)</f>
        <v>-174.01329227381575</v>
      </c>
      <c r="J73" s="617">
        <f>(J69-J72)</f>
        <v>-2080</v>
      </c>
      <c r="K73" s="48"/>
      <c r="M73" s="34"/>
      <c r="N73" s="34"/>
      <c r="O73" s="34"/>
      <c r="P73" s="34"/>
      <c r="Q73" s="34"/>
      <c r="R73" s="34"/>
      <c r="S73" s="548" t="s">
        <v>327</v>
      </c>
      <c r="T73" s="34"/>
      <c r="U73" s="34"/>
    </row>
    <row r="74" spans="2:25" s="37" customFormat="1" ht="20.100000000000001" customHeight="1" x14ac:dyDescent="0.3">
      <c r="B74" s="349" t="s">
        <v>10</v>
      </c>
      <c r="C74" s="350"/>
      <c r="D74" s="350"/>
      <c r="E74" s="351"/>
      <c r="F74" s="341" t="s">
        <v>1</v>
      </c>
      <c r="G74" s="442">
        <f>((G62-(G66+G65)*$I$25-G72)-$E$34*100/$E$35-$E$34*100*$E$36%)/($E$34*100)*2</f>
        <v>-0.15173088258263029</v>
      </c>
      <c r="H74" s="442">
        <f>((H62-(H66+H65)*$I$25-H72)-$E$34*100/$E$35-$E$34*100*$E$36%)/($E$34*100)*2</f>
        <v>-7.8050107305983149E-2</v>
      </c>
      <c r="I74" s="614">
        <f t="shared" ref="I74:J74" si="11">((I62-(I66+I65)*$I$25-I72)-$E$34*100/$E$35-$E$34*100*$E$36%)/($E$34*100)*2</f>
        <v>-4.369332029335992E-3</v>
      </c>
      <c r="J74" s="615">
        <f t="shared" si="11"/>
        <v>-0.55940928270042189</v>
      </c>
      <c r="K74" s="48"/>
      <c r="M74" s="34"/>
      <c r="N74" s="34"/>
      <c r="O74" s="34"/>
      <c r="P74" s="34"/>
      <c r="Q74" s="34"/>
      <c r="R74" s="34"/>
      <c r="S74" s="547" t="s">
        <v>104</v>
      </c>
      <c r="T74" s="34"/>
      <c r="U74" s="34"/>
    </row>
    <row r="75" spans="2:25" ht="20.100000000000001" customHeight="1" x14ac:dyDescent="0.25">
      <c r="B75" s="663" t="s">
        <v>137</v>
      </c>
      <c r="C75" s="664"/>
      <c r="D75" s="352"/>
      <c r="E75" s="353" t="str">
        <f>IF(J6&lt;&gt;0,"brutto","")</f>
        <v>brutto</v>
      </c>
      <c r="F75" s="354" t="s">
        <v>9</v>
      </c>
      <c r="G75" s="355">
        <f>IF($J$6=0,"",(G59+G64+G65+G66+G72-G50-G51)/100/G45)</f>
        <v>0.43493006367602643</v>
      </c>
      <c r="H75" s="355">
        <f>IF($J$6=0,"",(H59+H64+H65+H66+H72-H50-H51)/100/H45)</f>
        <v>0.41457453886294138</v>
      </c>
      <c r="I75" s="612">
        <f>IF($J$6=0,"",(I59+I64+I65+I66+I72-I50-I51)/100/I45)</f>
        <v>0.39661378167492523</v>
      </c>
      <c r="J75" s="613" t="e">
        <f>IF($J$6=0,"",(J59+J64+J65+J66+J72-J50-J51)/100/J45)</f>
        <v>#DIV/0!</v>
      </c>
      <c r="K75" s="11"/>
      <c r="L75" s="1"/>
      <c r="M75"/>
      <c r="N75"/>
      <c r="O75"/>
      <c r="P75"/>
      <c r="Q75"/>
      <c r="R75"/>
      <c r="S75" s="547"/>
      <c r="T75"/>
      <c r="U75"/>
    </row>
    <row r="76" spans="2:25" ht="20.100000000000001" customHeight="1" x14ac:dyDescent="0.25">
      <c r="B76" s="665"/>
      <c r="C76" s="666"/>
      <c r="D76" s="356"/>
      <c r="E76" s="357" t="s">
        <v>18</v>
      </c>
      <c r="F76" s="358" t="s">
        <v>9</v>
      </c>
      <c r="G76" s="359">
        <f>IF($J$7="",G75/(1+$E$9),(G59+G64+G65+G66+G72-G49-G50-G51)/100/G46)</f>
        <v>0.39289075309487481</v>
      </c>
      <c r="H76" s="359">
        <f>IF($J$7="",H75/(1+$E$9),(H59+H64+H65+H66+H72-H49-H50-H51)/100/H46)</f>
        <v>0.37450274513364173</v>
      </c>
      <c r="I76" s="667">
        <f>IF($J$7="",I75/(1+$E$9),(I59+I64+I65+I66+I72-I49-I50-I51)/100/I46)</f>
        <v>0.35827803222667137</v>
      </c>
      <c r="J76" s="668" t="e">
        <f>IF($J$7="",J75/(1+$E$9),(J59+J64+J65+J66+J72-J49-J50-J51)/100/J46)</f>
        <v>#DIV/0!</v>
      </c>
      <c r="K76" s="11"/>
      <c r="L76" s="1"/>
      <c r="M76"/>
      <c r="N76"/>
      <c r="O76"/>
      <c r="P76"/>
      <c r="Q76"/>
      <c r="R76"/>
      <c r="S76" s="547"/>
      <c r="T76"/>
      <c r="U76"/>
    </row>
    <row r="77" spans="2:25" ht="20.100000000000001" customHeight="1" x14ac:dyDescent="0.25">
      <c r="B77" s="603" t="s">
        <v>212</v>
      </c>
      <c r="C77" s="370" t="s">
        <v>161</v>
      </c>
      <c r="D77" s="360"/>
      <c r="E77" s="360"/>
      <c r="F77" s="361" t="s">
        <v>293</v>
      </c>
      <c r="G77" s="362">
        <f>((G59+(G64+G65+G66)+G72/$I$25-G49-G51-G50)/100)/G46/$K$9*100</f>
        <v>40.625005991797131</v>
      </c>
      <c r="H77" s="362">
        <f>((H59+(H64+H65+H66)+H72/$I$25-H49-H51-H50)/100)/H46/$K$9*100</f>
        <v>38.709588495835348</v>
      </c>
      <c r="I77" s="605">
        <f>((I59+(I64+I65+I66)+I72/$I$25-I49-I51-I50)/100)/I46/$K$9*100</f>
        <v>37.019514234692608</v>
      </c>
      <c r="J77" s="606" t="e">
        <f t="shared" ref="J77" si="12">((J59+(J64+J65+J66)+J72/$I$25-J49-J51-J50)/100)/J46/$K$9</f>
        <v>#DIV/0!</v>
      </c>
      <c r="L77" s="1"/>
      <c r="M77"/>
      <c r="N77"/>
      <c r="O77"/>
      <c r="P77"/>
      <c r="Q77"/>
      <c r="R77"/>
      <c r="S77" s="547" t="s">
        <v>199</v>
      </c>
      <c r="T77"/>
      <c r="U77"/>
    </row>
    <row r="78" spans="2:25" ht="20.100000000000001" customHeight="1" thickBot="1" x14ac:dyDescent="0.3">
      <c r="B78" s="604"/>
      <c r="C78" s="371" t="s">
        <v>162</v>
      </c>
      <c r="D78" s="363"/>
      <c r="E78" s="363"/>
      <c r="F78" s="364" t="s">
        <v>293</v>
      </c>
      <c r="G78" s="365">
        <f>((G59-G49-G50-G51)/100/G46)/$K$9*100</f>
        <v>20.931693689790201</v>
      </c>
      <c r="H78" s="365">
        <f>((H59-H49-H50-H51)/100/H46)/$K$9*100</f>
        <v>19.902081614289727</v>
      </c>
      <c r="I78" s="366">
        <f>((I59-I49-I50-I51)/100/I46)/$K$9*100</f>
        <v>18.993600371201072</v>
      </c>
      <c r="J78" s="367"/>
      <c r="L78" s="1"/>
      <c r="M78"/>
      <c r="N78"/>
      <c r="O78"/>
      <c r="P78"/>
      <c r="Q78"/>
      <c r="R78"/>
      <c r="S78" s="547" t="s">
        <v>200</v>
      </c>
      <c r="T78"/>
      <c r="U78"/>
    </row>
    <row r="79" spans="2:25" ht="26.4" customHeight="1" x14ac:dyDescent="0.4">
      <c r="B79" s="27"/>
      <c r="C79" s="27"/>
      <c r="E79" s="27"/>
      <c r="F79" s="28"/>
      <c r="G79" s="29"/>
      <c r="H79" s="29"/>
      <c r="I79" s="30"/>
      <c r="J79" s="31"/>
      <c r="K79" s="11"/>
      <c r="L79" s="11"/>
      <c r="M79"/>
      <c r="N79"/>
      <c r="O79"/>
      <c r="P79"/>
      <c r="Q79"/>
      <c r="R79"/>
      <c r="S79" s="112"/>
      <c r="T79"/>
      <c r="U79"/>
    </row>
    <row r="80" spans="2:25" ht="11.25" customHeight="1" x14ac:dyDescent="0.4">
      <c r="B80" s="32"/>
      <c r="C80" s="32"/>
      <c r="D80" s="27"/>
      <c r="E80" s="32"/>
      <c r="F80" s="32"/>
      <c r="G80" s="32"/>
      <c r="H80" s="32"/>
      <c r="I80" s="32"/>
      <c r="J80" s="32"/>
      <c r="K80" s="19"/>
      <c r="R80" s="6"/>
      <c r="S80" s="112"/>
      <c r="T80" s="6"/>
      <c r="U80" s="4"/>
      <c r="V80" s="4"/>
      <c r="W80" s="4"/>
      <c r="X80" s="4"/>
      <c r="Y80" s="4"/>
    </row>
    <row r="81" spans="2:25" ht="8.4" customHeight="1" x14ac:dyDescent="0.25">
      <c r="B81" s="33"/>
      <c r="C81" s="33"/>
      <c r="D81" s="32"/>
      <c r="E81" s="50"/>
      <c r="F81" s="33"/>
      <c r="G81" s="51"/>
      <c r="H81" s="33"/>
      <c r="I81" s="52"/>
      <c r="J81" s="33"/>
      <c r="K81" s="19"/>
      <c r="L81" s="19"/>
      <c r="M81" s="5"/>
      <c r="N81" s="5"/>
      <c r="O81" s="5"/>
      <c r="P81" s="56"/>
      <c r="Q81" s="5"/>
      <c r="R81" s="6"/>
      <c r="S81" s="112"/>
      <c r="T81" s="6"/>
      <c r="U81" s="4"/>
      <c r="V81" s="4"/>
      <c r="W81" s="4"/>
      <c r="X81" s="4"/>
      <c r="Y81" s="4"/>
    </row>
    <row r="82" spans="2:25" s="172" customFormat="1" x14ac:dyDescent="0.25">
      <c r="B82" s="173"/>
      <c r="C82" s="171"/>
      <c r="D82" s="33"/>
      <c r="E82" s="171"/>
      <c r="F82" s="171"/>
      <c r="G82" s="171"/>
      <c r="H82" s="171"/>
      <c r="I82" s="171"/>
      <c r="J82" s="171"/>
      <c r="K82" s="72"/>
      <c r="L82" s="72"/>
    </row>
    <row r="83" spans="2:25" ht="26.4" customHeight="1" x14ac:dyDescent="0.25">
      <c r="D83" s="171"/>
      <c r="G83" s="73"/>
      <c r="H83" s="73"/>
      <c r="I83" s="73"/>
    </row>
    <row r="84" spans="2:25" ht="15.6" x14ac:dyDescent="0.25">
      <c r="G84" s="55"/>
      <c r="H84" s="55"/>
      <c r="I84" s="55"/>
    </row>
    <row r="85" spans="2:25" x14ac:dyDescent="0.25">
      <c r="B85" s="72"/>
      <c r="G85" s="54"/>
      <c r="H85" s="54"/>
      <c r="I85" s="54"/>
    </row>
    <row r="86" spans="2:25" x14ac:dyDescent="0.25">
      <c r="G86" s="54"/>
      <c r="H86" s="54"/>
      <c r="I86" s="54"/>
    </row>
    <row r="87" spans="2:25" x14ac:dyDescent="0.25">
      <c r="G87" s="54"/>
      <c r="H87" s="54"/>
      <c r="I87" s="54"/>
    </row>
    <row r="88" spans="2:25" x14ac:dyDescent="0.25">
      <c r="B88"/>
      <c r="C88"/>
      <c r="D88"/>
      <c r="E88"/>
    </row>
    <row r="89" spans="2:25" x14ac:dyDescent="0.25">
      <c r="B89"/>
      <c r="C89"/>
      <c r="D89"/>
      <c r="E89"/>
      <c r="F89" s="68"/>
      <c r="G89" s="69"/>
      <c r="H89" s="69"/>
      <c r="I89" s="69"/>
    </row>
    <row r="90" spans="2:25" x14ac:dyDescent="0.25">
      <c r="B90"/>
      <c r="C90"/>
      <c r="D90"/>
      <c r="E90"/>
      <c r="F90" s="68"/>
      <c r="G90" s="69"/>
      <c r="H90" s="69"/>
      <c r="I90" s="69"/>
    </row>
    <row r="91" spans="2:25" x14ac:dyDescent="0.25">
      <c r="B91"/>
      <c r="C91"/>
      <c r="D91"/>
      <c r="E91"/>
      <c r="F91" s="68"/>
      <c r="G91" s="69"/>
      <c r="H91" s="69"/>
      <c r="I91" s="69"/>
    </row>
    <row r="92" spans="2:25" x14ac:dyDescent="0.25">
      <c r="B92"/>
      <c r="C92"/>
      <c r="D92"/>
      <c r="E92"/>
    </row>
    <row r="93" spans="2:25" x14ac:dyDescent="0.25">
      <c r="G93" s="54"/>
      <c r="H93" s="54"/>
      <c r="I93" s="54"/>
    </row>
    <row r="94" spans="2:25" x14ac:dyDescent="0.25">
      <c r="G94" s="54"/>
      <c r="H94" s="54"/>
      <c r="I94" s="54"/>
    </row>
    <row r="95" spans="2:25" x14ac:dyDescent="0.25">
      <c r="G95" s="54"/>
      <c r="H95" s="54"/>
      <c r="I95" s="54"/>
    </row>
    <row r="96" spans="2:25" x14ac:dyDescent="0.25">
      <c r="G96" s="70"/>
      <c r="H96" s="70"/>
      <c r="I96" s="70"/>
    </row>
    <row r="97" spans="2:10" x14ac:dyDescent="0.25">
      <c r="G97" s="71"/>
      <c r="H97" s="71"/>
      <c r="I97" s="71"/>
    </row>
    <row r="98" spans="2:10" x14ac:dyDescent="0.25">
      <c r="G98" s="71"/>
      <c r="H98" s="71"/>
      <c r="I98" s="71"/>
    </row>
    <row r="99" spans="2:10" ht="15" x14ac:dyDescent="0.25">
      <c r="B99" s="13"/>
      <c r="C99" s="13"/>
      <c r="E99" s="13"/>
      <c r="F99" s="13"/>
      <c r="G99" s="53"/>
      <c r="H99" s="53"/>
      <c r="I99" s="53"/>
      <c r="J99" s="13"/>
    </row>
    <row r="100" spans="2:10" ht="15" x14ac:dyDescent="0.25">
      <c r="D100" s="13"/>
    </row>
  </sheetData>
  <sheetProtection sheet="1" objects="1" scenarios="1"/>
  <mergeCells count="56">
    <mergeCell ref="I74:J74"/>
    <mergeCell ref="B75:C76"/>
    <mergeCell ref="I75:J75"/>
    <mergeCell ref="I76:J76"/>
    <mergeCell ref="B77:B78"/>
    <mergeCell ref="I77:J77"/>
    <mergeCell ref="I73:J73"/>
    <mergeCell ref="I62:J62"/>
    <mergeCell ref="I63:J63"/>
    <mergeCell ref="I64:J64"/>
    <mergeCell ref="I65:J65"/>
    <mergeCell ref="I66:J66"/>
    <mergeCell ref="I67:J67"/>
    <mergeCell ref="I68:J68"/>
    <mergeCell ref="I69:J69"/>
    <mergeCell ref="I70:J70"/>
    <mergeCell ref="I71:J71"/>
    <mergeCell ref="I72:J72"/>
    <mergeCell ref="I61:J61"/>
    <mergeCell ref="I50:J50"/>
    <mergeCell ref="I51:J51"/>
    <mergeCell ref="I52:J52"/>
    <mergeCell ref="I53:J53"/>
    <mergeCell ref="I54:J54"/>
    <mergeCell ref="I55:J55"/>
    <mergeCell ref="I56:J56"/>
    <mergeCell ref="I57:J57"/>
    <mergeCell ref="I58:J58"/>
    <mergeCell ref="I59:J59"/>
    <mergeCell ref="I60:J60"/>
    <mergeCell ref="I49:J49"/>
    <mergeCell ref="R20:R22"/>
    <mergeCell ref="Y20:AD22"/>
    <mergeCell ref="G37:H37"/>
    <mergeCell ref="G41:J41"/>
    <mergeCell ref="I42:J42"/>
    <mergeCell ref="I43:J43"/>
    <mergeCell ref="I44:J44"/>
    <mergeCell ref="I45:J45"/>
    <mergeCell ref="I46:J46"/>
    <mergeCell ref="I47:J47"/>
    <mergeCell ref="I48:J48"/>
    <mergeCell ref="I14:J14"/>
    <mergeCell ref="I15:J15"/>
    <mergeCell ref="I16:J16"/>
    <mergeCell ref="B18:J18"/>
    <mergeCell ref="S18:AD19"/>
    <mergeCell ref="C19:D19"/>
    <mergeCell ref="E19:F19"/>
    <mergeCell ref="B13:H13"/>
    <mergeCell ref="I13:J13"/>
    <mergeCell ref="B2:H2"/>
    <mergeCell ref="I2:J2"/>
    <mergeCell ref="R2:T2"/>
    <mergeCell ref="C4:D4"/>
    <mergeCell ref="I4:J4"/>
  </mergeCells>
  <printOptions horizontalCentered="1" gridLinesSet="0"/>
  <pageMargins left="0.25" right="0.25" top="0.75" bottom="0.75" header="0.3" footer="0.3"/>
  <pageSetup paperSize="9" scale="53" orientation="portrait" verticalDpi="300" r:id="rId1"/>
  <headerFooter alignWithMargins="0">
    <oddFooter>&amp;LLEL, Abt.2, J.Miez, K.Schabel, V.Segger&amp;C&amp;F&amp;R&amp;D</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CCFFCC"/>
    <pageSetUpPr fitToPage="1"/>
  </sheetPr>
  <dimension ref="B3:K24"/>
  <sheetViews>
    <sheetView workbookViewId="0"/>
  </sheetViews>
  <sheetFormatPr baseColWidth="10" defaultRowHeight="13.2" x14ac:dyDescent="0.25"/>
  <cols>
    <col min="1" max="1" width="2" customWidth="1"/>
    <col min="2" max="2" width="2.88671875" customWidth="1"/>
    <col min="3" max="3" width="25.6640625" customWidth="1"/>
    <col min="4" max="6" width="13.6640625" customWidth="1"/>
    <col min="7" max="7" width="4.6640625" customWidth="1"/>
    <col min="8" max="10" width="13.6640625" customWidth="1"/>
    <col min="11" max="11" width="15.77734375" customWidth="1"/>
  </cols>
  <sheetData>
    <row r="3" spans="2:11" ht="13.8" thickBot="1" x14ac:dyDescent="0.3"/>
    <row r="4" spans="2:11" ht="17.399999999999999" x14ac:dyDescent="0.3">
      <c r="C4" s="523" t="s">
        <v>228</v>
      </c>
      <c r="D4" s="524" t="str">
        <f>CONCATENATE("bezogen auf ",'300Mobilstall'!$B$18)</f>
        <v>bezogen auf 100 eingestallte Legehennen und 12 monatige Legeperiode</v>
      </c>
      <c r="E4" s="525"/>
      <c r="F4" s="526"/>
      <c r="G4" s="526"/>
      <c r="H4" s="526"/>
      <c r="I4" s="526"/>
      <c r="J4" s="527"/>
      <c r="K4" s="41"/>
    </row>
    <row r="5" spans="2:11" ht="16.2" thickBot="1" x14ac:dyDescent="0.35">
      <c r="C5" s="528" t="str">
        <f>Info!H3</f>
        <v>Vers.01/2018
 (Stand: 07/2018)</v>
      </c>
      <c r="D5" s="529" t="str">
        <f>IF('300Mobilstall'!$J$7=0,'300Mobilstall'!$I$6&amp;", ",'300Mobilstall'!$I$7&amp;", ")</f>
        <v xml:space="preserve">Regelbesteuerung , </v>
      </c>
      <c r="E5" s="530"/>
      <c r="F5" s="531" t="str">
        <f>IF('300Mobilstall'!$F$7="","Investitionsförderung "&amp;'300Mobilstall'!I10&amp;" %","ohne Investitionsförderung")</f>
        <v>Investitionsförderung 40 %</v>
      </c>
      <c r="G5" s="530"/>
      <c r="H5" s="532"/>
      <c r="I5" s="530"/>
      <c r="J5" s="533"/>
    </row>
    <row r="6" spans="2:11" ht="13.8" thickBot="1" x14ac:dyDescent="0.3"/>
    <row r="7" spans="2:11" ht="15.6" x14ac:dyDescent="0.3">
      <c r="C7" s="456" t="s">
        <v>243</v>
      </c>
      <c r="D7" s="457" t="s">
        <v>157</v>
      </c>
      <c r="E7" s="457" t="s">
        <v>250</v>
      </c>
      <c r="F7" s="458" t="s">
        <v>251</v>
      </c>
      <c r="G7" s="459"/>
      <c r="H7" s="459"/>
      <c r="I7" s="456" t="s">
        <v>249</v>
      </c>
      <c r="J7" s="460"/>
    </row>
    <row r="8" spans="2:11" ht="15" x14ac:dyDescent="0.25">
      <c r="C8" s="461" t="s">
        <v>164</v>
      </c>
      <c r="D8" s="462">
        <f>'300Mobilstall'!$C$20</f>
        <v>0</v>
      </c>
      <c r="E8" s="462">
        <f>'300Mobilstall'!$C$21</f>
        <v>0.3</v>
      </c>
      <c r="F8" s="463">
        <f>'300Mobilstall'!$C$22</f>
        <v>0.7</v>
      </c>
      <c r="G8" s="464"/>
      <c r="H8" s="464"/>
      <c r="I8" s="465">
        <f>'300Mobilstall'!$E$23</f>
        <v>36.4</v>
      </c>
      <c r="J8" s="466"/>
    </row>
    <row r="9" spans="2:11" ht="15.6" thickBot="1" x14ac:dyDescent="0.3">
      <c r="C9" s="467" t="s">
        <v>231</v>
      </c>
      <c r="D9" s="468">
        <f>'300Mobilstall'!$E$20</f>
        <v>19</v>
      </c>
      <c r="E9" s="468">
        <f>'300Mobilstall'!$E$21</f>
        <v>28</v>
      </c>
      <c r="F9" s="469">
        <f>'300Mobilstall'!$E$22</f>
        <v>40</v>
      </c>
      <c r="G9" s="470"/>
      <c r="H9" s="470"/>
      <c r="I9" s="471"/>
      <c r="J9" s="472"/>
    </row>
    <row r="11" spans="2:11" ht="13.8" thickBot="1" x14ac:dyDescent="0.3"/>
    <row r="12" spans="2:11" ht="18.3" customHeight="1" x14ac:dyDescent="0.4">
      <c r="B12" s="447"/>
      <c r="C12" s="504" t="s">
        <v>230</v>
      </c>
      <c r="D12" s="505"/>
      <c r="E12" s="505"/>
      <c r="F12" s="505"/>
      <c r="G12" s="506" t="s">
        <v>229</v>
      </c>
      <c r="H12" s="507">
        <f>'300Mobilstall'!G42</f>
        <v>0.75</v>
      </c>
      <c r="I12" s="508">
        <f>'300Mobilstall'!H42</f>
        <v>0.8</v>
      </c>
      <c r="J12" s="509">
        <f>'300Mobilstall'!I42</f>
        <v>0.85</v>
      </c>
    </row>
    <row r="13" spans="2:11" ht="15" x14ac:dyDescent="0.25">
      <c r="B13" s="701"/>
      <c r="C13" s="473" t="s">
        <v>234</v>
      </c>
      <c r="D13" s="474"/>
      <c r="E13" s="474"/>
      <c r="F13" s="474"/>
      <c r="G13" s="475" t="s">
        <v>9</v>
      </c>
      <c r="H13" s="476">
        <f>'300Mobilstall'!G52*'300Mobilstall'!$I$25</f>
        <v>9434.1163860979159</v>
      </c>
      <c r="I13" s="477">
        <f>'300Mobilstall'!H52*'300Mobilstall'!$I$25</f>
        <v>10040.519553278717</v>
      </c>
      <c r="J13" s="478">
        <f>'300Mobilstall'!I52*'300Mobilstall'!$I$25</f>
        <v>10646.922720459517</v>
      </c>
    </row>
    <row r="14" spans="2:11" ht="15.6" x14ac:dyDescent="0.3">
      <c r="B14" s="701"/>
      <c r="C14" s="497" t="s">
        <v>241</v>
      </c>
      <c r="D14" s="498"/>
      <c r="E14" s="498"/>
      <c r="F14" s="498"/>
      <c r="G14" s="499" t="s">
        <v>9</v>
      </c>
      <c r="H14" s="500">
        <f>('300Mobilstall'!G48+'300Mobilstall'!G49)*'300Mobilstall'!$I$25</f>
        <v>9096.0475077119972</v>
      </c>
      <c r="I14" s="501">
        <f>('300Mobilstall'!H48+'300Mobilstall'!H49)*'300Mobilstall'!$I$25</f>
        <v>9702.4506748927979</v>
      </c>
      <c r="J14" s="502">
        <f>('300Mobilstall'!I48+'300Mobilstall'!I49)*'300Mobilstall'!$I$25</f>
        <v>10308.853842073599</v>
      </c>
    </row>
    <row r="15" spans="2:11" ht="15" x14ac:dyDescent="0.25">
      <c r="B15" s="141"/>
      <c r="C15" s="479" t="s">
        <v>235</v>
      </c>
      <c r="D15" s="480"/>
      <c r="E15" s="480"/>
      <c r="F15" s="480"/>
      <c r="G15" s="475" t="s">
        <v>9</v>
      </c>
      <c r="H15" s="481">
        <f>'300Mobilstall'!G59*'300Mobilstall'!$I$25</f>
        <v>5600.4330654000005</v>
      </c>
      <c r="I15" s="482">
        <f>'300Mobilstall'!H59*'300Mobilstall'!$I$25</f>
        <v>5679.0650524000002</v>
      </c>
      <c r="J15" s="483">
        <f>'300Mobilstall'!I59*'300Mobilstall'!$I$25</f>
        <v>5757.6970394</v>
      </c>
    </row>
    <row r="16" spans="2:11" ht="15.6" x14ac:dyDescent="0.3">
      <c r="C16" s="497" t="s">
        <v>242</v>
      </c>
      <c r="D16" s="498"/>
      <c r="E16" s="498"/>
      <c r="F16" s="498"/>
      <c r="G16" s="503" t="s">
        <v>9</v>
      </c>
      <c r="H16" s="500">
        <f>'300Mobilstall'!G55*'300Mobilstall'!$I$25</f>
        <v>2931.2732604000003</v>
      </c>
      <c r="I16" s="501">
        <f>'300Mobilstall'!H55*'300Mobilstall'!$I$25</f>
        <v>2931.2732604000003</v>
      </c>
      <c r="J16" s="502">
        <f>'300Mobilstall'!I55*'300Mobilstall'!$I$25</f>
        <v>2931.2732604000003</v>
      </c>
    </row>
    <row r="17" spans="2:10" ht="17.399999999999999" x14ac:dyDescent="0.3">
      <c r="C17" s="510" t="s">
        <v>133</v>
      </c>
      <c r="D17" s="511"/>
      <c r="E17" s="512"/>
      <c r="F17" s="511" t="s">
        <v>245</v>
      </c>
      <c r="G17" s="513" t="s">
        <v>9</v>
      </c>
      <c r="H17" s="514">
        <f>'300Mobilstall'!G62</f>
        <v>3833.6833206979154</v>
      </c>
      <c r="I17" s="515">
        <f>'300Mobilstall'!H62</f>
        <v>4361.4545008787163</v>
      </c>
      <c r="J17" s="516">
        <f>'300Mobilstall'!I62</f>
        <v>4889.2256810595172</v>
      </c>
    </row>
    <row r="18" spans="2:10" ht="15.6" x14ac:dyDescent="0.25">
      <c r="B18" s="141"/>
      <c r="C18" s="473" t="s">
        <v>236</v>
      </c>
      <c r="D18" s="474"/>
      <c r="E18" s="484"/>
      <c r="F18" s="485"/>
      <c r="G18" s="475" t="s">
        <v>9</v>
      </c>
      <c r="H18" s="476">
        <f>'300Mobilstall'!G67*'300Mobilstall'!$I$25</f>
        <v>1432.625</v>
      </c>
      <c r="I18" s="477">
        <f>'300Mobilstall'!H67*'300Mobilstall'!$I$25</f>
        <v>1432.625</v>
      </c>
      <c r="J18" s="478">
        <f>'300Mobilstall'!I67*'300Mobilstall'!$I$25</f>
        <v>1432.625</v>
      </c>
    </row>
    <row r="19" spans="2:10" ht="15" x14ac:dyDescent="0.25">
      <c r="B19" s="141"/>
      <c r="C19" s="473" t="s">
        <v>290</v>
      </c>
      <c r="D19" s="474"/>
      <c r="E19" s="474"/>
      <c r="F19" s="486" t="s">
        <v>245</v>
      </c>
      <c r="G19" s="475" t="s">
        <v>237</v>
      </c>
      <c r="H19" s="476">
        <f>'300Mobilstall'!G71</f>
        <v>215.51179999999999</v>
      </c>
      <c r="I19" s="477">
        <f>'300Mobilstall'!H71</f>
        <v>221.21258666666665</v>
      </c>
      <c r="J19" s="478">
        <f>'300Mobilstall'!I71</f>
        <v>226.91337333333331</v>
      </c>
    </row>
    <row r="20" spans="2:10" ht="15" x14ac:dyDescent="0.25">
      <c r="C20" s="473" t="s">
        <v>233</v>
      </c>
      <c r="D20" s="487" t="str">
        <f>CONCATENATE("bei ", '300Mobilstall'!I11)</f>
        <v>bei 16</v>
      </c>
      <c r="E20" s="474" t="s">
        <v>244</v>
      </c>
      <c r="F20" s="485"/>
      <c r="G20" s="475" t="s">
        <v>9</v>
      </c>
      <c r="H20" s="476">
        <f>'300Mobilstall'!G72</f>
        <v>3448.1887999999999</v>
      </c>
      <c r="I20" s="477">
        <f>'300Mobilstall'!H72</f>
        <v>3539.4013866666664</v>
      </c>
      <c r="J20" s="478">
        <f>'300Mobilstall'!I72</f>
        <v>3630.613973333333</v>
      </c>
    </row>
    <row r="21" spans="2:10" ht="17.399999999999999" x14ac:dyDescent="0.3">
      <c r="C21" s="517" t="s">
        <v>232</v>
      </c>
      <c r="D21" s="518"/>
      <c r="E21" s="519"/>
      <c r="F21" s="511" t="s">
        <v>246</v>
      </c>
      <c r="G21" s="513" t="s">
        <v>9</v>
      </c>
      <c r="H21" s="520">
        <f>'300Mobilstall'!G73</f>
        <v>-1047.1304793020845</v>
      </c>
      <c r="I21" s="521">
        <f>'300Mobilstall'!H73</f>
        <v>-610.57188578795012</v>
      </c>
      <c r="J21" s="522">
        <f>'300Mobilstall'!I73</f>
        <v>-174.01329227381575</v>
      </c>
    </row>
    <row r="22" spans="2:10" ht="15.6" customHeight="1" x14ac:dyDescent="0.25">
      <c r="C22" s="479" t="s">
        <v>240</v>
      </c>
      <c r="D22" s="474"/>
      <c r="E22" s="474"/>
      <c r="F22" s="474"/>
      <c r="G22" s="475" t="s">
        <v>9</v>
      </c>
      <c r="H22" s="488">
        <f>'300Mobilstall'!G70</f>
        <v>11.141191900851441</v>
      </c>
      <c r="I22" s="489">
        <f>'300Mobilstall'!H70</f>
        <v>13.2398863238827</v>
      </c>
      <c r="J22" s="490">
        <f>'300Mobilstall'!I70</f>
        <v>15.23312897024279</v>
      </c>
    </row>
    <row r="23" spans="2:10" ht="15.6" customHeight="1" thickBot="1" x14ac:dyDescent="0.3">
      <c r="C23" s="450" t="s">
        <v>238</v>
      </c>
      <c r="D23" s="491"/>
      <c r="E23" s="492"/>
      <c r="F23" s="492"/>
      <c r="G23" s="493" t="s">
        <v>239</v>
      </c>
      <c r="H23" s="494">
        <f>'300Mobilstall'!G77</f>
        <v>40.625005991797131</v>
      </c>
      <c r="I23" s="495">
        <f>'300Mobilstall'!H77</f>
        <v>38.709588495835348</v>
      </c>
      <c r="J23" s="496">
        <f>'300Mobilstall'!I77</f>
        <v>37.019514234692608</v>
      </c>
    </row>
    <row r="24" spans="2:10" x14ac:dyDescent="0.25">
      <c r="H24" s="205"/>
      <c r="I24" s="205"/>
    </row>
  </sheetData>
  <sheetProtection sheet="1" objects="1" scenarios="1"/>
  <mergeCells count="1">
    <mergeCell ref="B13:B14"/>
  </mergeCells>
  <pageMargins left="0.7" right="0.7" top="0.78740157499999996" bottom="0.78740157499999996" header="0.3" footer="0.3"/>
  <pageSetup paperSize="9" scale="81"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5" tint="0.59999389629810485"/>
    <pageSetUpPr fitToPage="1"/>
  </sheetPr>
  <dimension ref="B2:S54"/>
  <sheetViews>
    <sheetView zoomScale="87" zoomScaleNormal="87" workbookViewId="0">
      <selection activeCell="Q35" sqref="Q35"/>
    </sheetView>
  </sheetViews>
  <sheetFormatPr baseColWidth="10" defaultRowHeight="13.2" x14ac:dyDescent="0.25"/>
  <cols>
    <col min="1" max="1" width="2.109375" customWidth="1"/>
    <col min="6" max="6" width="9.33203125" customWidth="1"/>
    <col min="8" max="8" width="9.109375" customWidth="1"/>
    <col min="9" max="9" width="14.6640625" customWidth="1"/>
    <col min="10" max="10" width="9.21875" customWidth="1"/>
  </cols>
  <sheetData>
    <row r="2" spans="2:19" ht="5.4" customHeight="1" thickBot="1" x14ac:dyDescent="0.3"/>
    <row r="3" spans="2:19" ht="40.049999999999997" customHeight="1" thickBot="1" x14ac:dyDescent="0.3">
      <c r="B3" s="731" t="str">
        <f>'300Mobilstall'!B2</f>
        <v xml:space="preserve">               VOKO ÖKO-Legehenne - 300 Hennen Mobilstall</v>
      </c>
      <c r="C3" s="732"/>
      <c r="D3" s="732"/>
      <c r="E3" s="732"/>
      <c r="F3" s="732"/>
      <c r="G3" s="732"/>
      <c r="H3" s="732"/>
      <c r="I3" s="732"/>
      <c r="J3" s="732"/>
      <c r="K3" s="737" t="str">
        <f>Info!H3</f>
        <v>Vers.01/2018
 (Stand: 07/2018)</v>
      </c>
      <c r="L3" s="737"/>
      <c r="M3" s="738"/>
    </row>
    <row r="4" spans="2:19" ht="10.199999999999999" customHeight="1" thickBot="1" x14ac:dyDescent="0.3">
      <c r="B4" s="269"/>
      <c r="C4" s="269"/>
      <c r="D4" s="269"/>
      <c r="E4" s="269"/>
      <c r="F4" s="269"/>
      <c r="G4" s="269"/>
      <c r="H4" s="269"/>
      <c r="I4" s="269"/>
      <c r="J4" s="269"/>
      <c r="K4" s="544"/>
      <c r="L4" s="544"/>
      <c r="M4" s="205"/>
    </row>
    <row r="5" spans="2:19" ht="26.55" customHeight="1" x14ac:dyDescent="0.25">
      <c r="B5" s="711" t="s">
        <v>213</v>
      </c>
      <c r="C5" s="712"/>
      <c r="D5" s="712"/>
      <c r="E5" s="712"/>
      <c r="F5" s="712"/>
      <c r="G5" s="712"/>
      <c r="H5" s="712"/>
      <c r="I5" s="712"/>
      <c r="J5" s="712"/>
      <c r="K5" s="712"/>
      <c r="L5" s="712"/>
      <c r="M5" s="735"/>
    </row>
    <row r="6" spans="2:19" ht="17.399999999999999" x14ac:dyDescent="0.25">
      <c r="B6" s="382"/>
      <c r="C6" s="383" t="s">
        <v>82</v>
      </c>
      <c r="D6" s="383"/>
      <c r="E6" s="384"/>
      <c r="F6" s="722" t="s">
        <v>157</v>
      </c>
      <c r="G6" s="723"/>
      <c r="H6" s="724" t="s">
        <v>158</v>
      </c>
      <c r="I6" s="723"/>
      <c r="J6" s="724" t="s">
        <v>159</v>
      </c>
      <c r="K6" s="722"/>
      <c r="L6" s="722"/>
      <c r="M6" s="736"/>
    </row>
    <row r="7" spans="2:19" ht="30.6" customHeight="1" x14ac:dyDescent="0.25">
      <c r="B7" s="385"/>
      <c r="C7" s="386" t="s">
        <v>164</v>
      </c>
      <c r="D7" s="386"/>
      <c r="E7" s="386"/>
      <c r="F7" s="721">
        <f>'300Mobilstall'!C20</f>
        <v>0</v>
      </c>
      <c r="G7" s="715"/>
      <c r="H7" s="714">
        <f>'300Mobilstall'!C21</f>
        <v>0.3</v>
      </c>
      <c r="I7" s="715"/>
      <c r="J7" s="721">
        <f>'300Mobilstall'!C22</f>
        <v>0.7</v>
      </c>
      <c r="K7" s="721"/>
      <c r="L7" s="386"/>
      <c r="M7" s="729"/>
    </row>
    <row r="8" spans="2:19" ht="18" thickBot="1" x14ac:dyDescent="0.3">
      <c r="B8" s="388"/>
      <c r="C8" s="389" t="s">
        <v>165</v>
      </c>
      <c r="D8" s="389"/>
      <c r="E8" s="389"/>
      <c r="F8" s="720">
        <f>'300Mobilstall'!E20</f>
        <v>19</v>
      </c>
      <c r="G8" s="717"/>
      <c r="H8" s="716">
        <f>'300Mobilstall'!E21</f>
        <v>28</v>
      </c>
      <c r="I8" s="717"/>
      <c r="J8" s="720">
        <f>'300Mobilstall'!E22</f>
        <v>40</v>
      </c>
      <c r="K8" s="720"/>
      <c r="L8" s="389"/>
      <c r="M8" s="730"/>
    </row>
    <row r="9" spans="2:19" ht="15.6" x14ac:dyDescent="0.25">
      <c r="B9" s="42"/>
      <c r="C9" s="42"/>
      <c r="D9" s="42"/>
      <c r="E9" s="42"/>
      <c r="F9" s="372"/>
      <c r="G9" s="372"/>
      <c r="H9" s="372"/>
      <c r="I9" s="372"/>
      <c r="J9" s="372"/>
      <c r="K9" s="268"/>
      <c r="L9" s="268"/>
    </row>
    <row r="10" spans="2:19" ht="15.6" x14ac:dyDescent="0.25">
      <c r="B10" s="42"/>
      <c r="C10" s="42"/>
      <c r="D10" s="42"/>
      <c r="E10" s="42"/>
      <c r="F10" s="42"/>
      <c r="G10" s="42"/>
      <c r="H10" s="42"/>
      <c r="I10" s="42"/>
      <c r="J10" s="42"/>
      <c r="K10" s="42"/>
      <c r="L10" s="42"/>
      <c r="N10" s="710"/>
      <c r="O10" s="710"/>
      <c r="S10" s="196"/>
    </row>
    <row r="11" spans="2:19" x14ac:dyDescent="0.25">
      <c r="N11" s="710"/>
      <c r="O11" s="710"/>
      <c r="P11" s="196"/>
      <c r="Q11" s="1"/>
      <c r="R11" s="1"/>
      <c r="S11" s="1"/>
    </row>
    <row r="12" spans="2:19" x14ac:dyDescent="0.25">
      <c r="N12" s="710"/>
      <c r="O12" s="710"/>
      <c r="P12" s="1"/>
      <c r="Q12" s="1"/>
      <c r="R12" s="1"/>
      <c r="S12" s="1"/>
    </row>
    <row r="13" spans="2:19" ht="15" x14ac:dyDescent="0.25">
      <c r="N13" s="710"/>
      <c r="O13" s="710"/>
      <c r="P13" s="10"/>
      <c r="Q13" s="706" t="s">
        <v>74</v>
      </c>
      <c r="R13" s="708" t="s">
        <v>75</v>
      </c>
      <c r="S13" s="1"/>
    </row>
    <row r="14" spans="2:19" x14ac:dyDescent="0.25">
      <c r="N14" s="187" t="s">
        <v>77</v>
      </c>
      <c r="O14" s="178"/>
      <c r="P14" s="178"/>
      <c r="Q14" s="707"/>
      <c r="R14" s="709"/>
      <c r="S14" s="1"/>
    </row>
    <row r="15" spans="2:19" x14ac:dyDescent="0.25">
      <c r="N15" s="184"/>
      <c r="O15" s="1"/>
      <c r="P15" s="1"/>
      <c r="Q15" s="1"/>
      <c r="R15" s="179"/>
      <c r="S15" s="1"/>
    </row>
    <row r="16" spans="2:19" ht="15" x14ac:dyDescent="0.25">
      <c r="N16" s="185" t="s">
        <v>76</v>
      </c>
      <c r="O16" s="38"/>
      <c r="P16" s="38"/>
      <c r="Q16" s="57">
        <f>'300Mobilstall'!E24*100</f>
        <v>1100</v>
      </c>
      <c r="R16" s="180">
        <f>Q16/100/'300Mobilstall'!$H$45*100</f>
        <v>4.4219043453652009</v>
      </c>
      <c r="S16" s="140">
        <f t="shared" ref="S16:S23" si="0">R16/$R$30</f>
        <v>0.10412632324746184</v>
      </c>
    </row>
    <row r="17" spans="14:19" ht="15" x14ac:dyDescent="0.25">
      <c r="N17" s="185" t="s">
        <v>13</v>
      </c>
      <c r="O17" s="38"/>
      <c r="P17" s="38"/>
      <c r="Q17" s="57">
        <f>'300Mobilstall'!H55</f>
        <v>2931.2732604000003</v>
      </c>
      <c r="R17" s="180">
        <f>$Q17/100/'300Mobilstall'!$H$45*100</f>
        <v>11.783463606923258</v>
      </c>
      <c r="S17" s="140">
        <f t="shared" si="0"/>
        <v>0.27747518821731987</v>
      </c>
    </row>
    <row r="18" spans="14:19" ht="15" x14ac:dyDescent="0.25">
      <c r="N18" s="185" t="s">
        <v>166</v>
      </c>
      <c r="O18" s="38"/>
      <c r="P18" s="38"/>
      <c r="Q18" s="57">
        <f>'300Mobilstall'!H28+'300Mobilstall'!H29</f>
        <v>47.08</v>
      </c>
      <c r="R18" s="180">
        <f>$Q18/100/'300Mobilstall'!$H$45*100</f>
        <v>0.1892575059816306</v>
      </c>
      <c r="S18" s="140">
        <f t="shared" si="0"/>
        <v>4.456606634991366E-3</v>
      </c>
    </row>
    <row r="19" spans="14:19" ht="15" x14ac:dyDescent="0.25">
      <c r="N19" s="185" t="str">
        <f>'300Mobilstall'!G30</f>
        <v xml:space="preserve">    Energie, Wasser</v>
      </c>
      <c r="O19" s="38"/>
      <c r="P19" s="38"/>
      <c r="Q19" s="57">
        <f>'300Mobilstall'!H30</f>
        <v>120</v>
      </c>
      <c r="R19" s="180">
        <f>$Q19/100/'300Mobilstall'!$H$45*100</f>
        <v>0.48238956494893104</v>
      </c>
      <c r="S19" s="140">
        <f t="shared" si="0"/>
        <v>1.1359235263359474E-2</v>
      </c>
    </row>
    <row r="20" spans="14:19" ht="15" x14ac:dyDescent="0.25">
      <c r="N20" s="185" t="str">
        <f>'300Mobilstall'!G31</f>
        <v xml:space="preserve">    Einstreu, Pflege Auslauf</v>
      </c>
      <c r="O20" s="38"/>
      <c r="P20" s="38"/>
      <c r="Q20" s="57">
        <f>'300Mobilstall'!H31</f>
        <v>23.6</v>
      </c>
      <c r="R20" s="180">
        <f>$Q20/100/'300Mobilstall'!$H$45*100</f>
        <v>9.4869947773289789E-2</v>
      </c>
      <c r="S20" s="140">
        <f t="shared" si="0"/>
        <v>2.2339829351273634E-3</v>
      </c>
    </row>
    <row r="21" spans="14:19" ht="15" x14ac:dyDescent="0.25">
      <c r="N21" s="185" t="str">
        <f>'300Mobilstall'!G32&amp;"&amp; Düngerausbringung"</f>
        <v xml:space="preserve">    variable Maschinenkosten&amp; Düngerausbringung</v>
      </c>
      <c r="O21" s="38"/>
      <c r="P21" s="38"/>
      <c r="Q21" s="57">
        <f>'300Mobilstall'!H32+'300Mobilstall'!H33</f>
        <v>103</v>
      </c>
      <c r="R21" s="180">
        <f>$Q21/100/'300Mobilstall'!$H$45*100</f>
        <v>0.41405104324783248</v>
      </c>
      <c r="S21" s="140">
        <f t="shared" si="0"/>
        <v>9.7500102677168816E-3</v>
      </c>
    </row>
    <row r="22" spans="14:19" ht="15" x14ac:dyDescent="0.25">
      <c r="N22" s="185" t="str">
        <f>'300Mobilstall'!G34</f>
        <v xml:space="preserve">    Beratung, Kontrolle</v>
      </c>
      <c r="O22" s="38"/>
      <c r="P22" s="38"/>
      <c r="Q22" s="57">
        <f>'300Mobilstall'!H34</f>
        <v>10</v>
      </c>
      <c r="R22" s="180">
        <f>$Q22/100/'300Mobilstall'!$H$45*100</f>
        <v>4.0199130412410924E-2</v>
      </c>
      <c r="S22" s="140">
        <f t="shared" si="0"/>
        <v>9.4660293861328947E-4</v>
      </c>
    </row>
    <row r="23" spans="14:19" ht="15" x14ac:dyDescent="0.25">
      <c r="N23" s="185" t="s">
        <v>100</v>
      </c>
      <c r="O23" s="1"/>
      <c r="P23" s="1"/>
      <c r="Q23" s="57">
        <f>'300Mobilstall'!H58</f>
        <v>1258.1117919999999</v>
      </c>
      <c r="R23" s="180">
        <f>$Q23/100/'300Mobilstall'!$H$45*100</f>
        <v>5.0574999999999992</v>
      </c>
      <c r="S23" s="140">
        <f t="shared" si="0"/>
        <v>0.11909323194112313</v>
      </c>
    </row>
    <row r="24" spans="14:19" ht="38.700000000000003" customHeight="1" x14ac:dyDescent="0.25">
      <c r="N24" s="185" t="str">
        <f>'300Mobilstall'!G35</f>
        <v>Zinsansatz Vieh- und Umlaufverm.</v>
      </c>
      <c r="O24" s="38"/>
      <c r="P24" s="38"/>
      <c r="Q24" s="57">
        <f>'300Mobilstall'!I35</f>
        <v>9</v>
      </c>
      <c r="R24" s="180">
        <f>$Q24/100/'300Mobilstall'!$H$45*100</f>
        <v>3.6179217371169831E-2</v>
      </c>
      <c r="S24" s="140">
        <f>R25/$R$30</f>
        <v>4.7330146930664469E-3</v>
      </c>
    </row>
    <row r="25" spans="14:19" ht="15" x14ac:dyDescent="0.25">
      <c r="N25" s="185" t="str">
        <f>'300Mobilstall'!B66</f>
        <v>Gemeinkosten (inkl. 19 % Mwst.)</v>
      </c>
      <c r="O25" s="38"/>
      <c r="P25" s="38"/>
      <c r="Q25" s="60">
        <f>'300Mobilstall'!H36</f>
        <v>50</v>
      </c>
      <c r="R25" s="180">
        <f>$Q25/100/'300Mobilstall'!$H$45*100</f>
        <v>0.20099565206205461</v>
      </c>
      <c r="S25" s="140">
        <f>R26/$R$30</f>
        <v>0.33504077535506177</v>
      </c>
    </row>
    <row r="26" spans="14:19" ht="15" x14ac:dyDescent="0.25">
      <c r="N26" s="185" t="s">
        <v>15</v>
      </c>
      <c r="O26" s="38"/>
      <c r="P26" s="38"/>
      <c r="Q26" s="60">
        <f>'300Mobilstall'!H72</f>
        <v>3539.4013866666664</v>
      </c>
      <c r="R26" s="180">
        <f>$Q26/100/'300Mobilstall'!$H$45*100</f>
        <v>14.228085792448136</v>
      </c>
      <c r="S26" s="140">
        <f>R27/$R$30</f>
        <v>0.12993308586140664</v>
      </c>
    </row>
    <row r="27" spans="14:19" ht="15" x14ac:dyDescent="0.25">
      <c r="N27" s="185" t="s">
        <v>14</v>
      </c>
      <c r="O27" s="38"/>
      <c r="P27" s="38"/>
      <c r="Q27" s="60">
        <f>'300Mobilstall'!H64</f>
        <v>1372.625</v>
      </c>
      <c r="R27" s="180">
        <f>$Q27/100/'300Mobilstall'!$H$45*100</f>
        <v>5.5178331382335539</v>
      </c>
      <c r="S27" s="140">
        <f>R28/$R$30</f>
        <v>0</v>
      </c>
    </row>
    <row r="28" spans="14:19" ht="15" x14ac:dyDescent="0.25">
      <c r="N28" s="186"/>
      <c r="O28" s="38"/>
      <c r="P28" s="38"/>
      <c r="Q28" s="1"/>
      <c r="R28" s="179"/>
      <c r="S28" s="140"/>
    </row>
    <row r="29" spans="14:19" x14ac:dyDescent="0.25">
      <c r="N29" s="12"/>
      <c r="O29" s="1"/>
      <c r="P29" s="1"/>
      <c r="Q29" s="1"/>
      <c r="R29" s="179"/>
      <c r="S29" s="1"/>
    </row>
    <row r="30" spans="14:19" ht="17.399999999999999" x14ac:dyDescent="0.3">
      <c r="N30" s="61" t="s">
        <v>16</v>
      </c>
      <c r="O30" s="41"/>
      <c r="P30" s="41"/>
      <c r="Q30" s="62">
        <f>SUM(Q16:Q27)</f>
        <v>10564.091439066666</v>
      </c>
      <c r="R30" s="181">
        <f>SUM(R16:R27)</f>
        <v>42.466728944767468</v>
      </c>
      <c r="S30" s="34"/>
    </row>
    <row r="54" ht="205.8" customHeight="1" x14ac:dyDescent="0.25"/>
  </sheetData>
  <sheetProtection sheet="1" objects="1" scenarios="1"/>
  <mergeCells count="17">
    <mergeCell ref="N10:O13"/>
    <mergeCell ref="Q13:Q14"/>
    <mergeCell ref="R13:R14"/>
    <mergeCell ref="F7:G7"/>
    <mergeCell ref="H7:I7"/>
    <mergeCell ref="J7:K7"/>
    <mergeCell ref="F8:G8"/>
    <mergeCell ref="H8:I8"/>
    <mergeCell ref="J8:K8"/>
    <mergeCell ref="M7:M8"/>
    <mergeCell ref="B3:J3"/>
    <mergeCell ref="B5:L5"/>
    <mergeCell ref="F6:G6"/>
    <mergeCell ref="H6:I6"/>
    <mergeCell ref="J6:L6"/>
    <mergeCell ref="K3:M3"/>
    <mergeCell ref="M5:M6"/>
  </mergeCells>
  <pageMargins left="0.25" right="0.25" top="0.75" bottom="0.75" header="0.3" footer="0.3"/>
  <pageSetup paperSize="9" scale="74" orientation="portrait" r:id="rId1"/>
  <headerFooter alignWithMargins="0">
    <oddFooter>&amp;LLEL, Abt.2, K.Schabel, V. Segger&amp;C&amp;F&amp;R&amp;D</oddFooter>
  </headerFooter>
  <rowBreaks count="1" manualBreakCount="1">
    <brk id="56"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1:J29"/>
  <sheetViews>
    <sheetView zoomScaleNormal="100" workbookViewId="0"/>
  </sheetViews>
  <sheetFormatPr baseColWidth="10" defaultRowHeight="13.2" x14ac:dyDescent="0.25"/>
  <cols>
    <col min="1" max="1" width="1.88671875" customWidth="1"/>
    <col min="5" max="5" width="7.88671875" customWidth="1"/>
  </cols>
  <sheetData>
    <row r="1" spans="2:10" ht="13.8" thickBot="1" x14ac:dyDescent="0.3"/>
    <row r="2" spans="2:10" ht="38.1" customHeight="1" thickBot="1" x14ac:dyDescent="0.3">
      <c r="B2" s="595" t="s">
        <v>57</v>
      </c>
      <c r="C2" s="596"/>
      <c r="D2" s="596"/>
      <c r="E2" s="596"/>
      <c r="F2" s="596"/>
      <c r="G2" s="596"/>
      <c r="H2" s="596"/>
      <c r="I2" s="596"/>
      <c r="J2" s="597"/>
    </row>
    <row r="3" spans="2:10" ht="4.8" customHeight="1" x14ac:dyDescent="0.25">
      <c r="B3" s="143"/>
      <c r="C3" s="143"/>
      <c r="D3" s="143"/>
      <c r="E3" s="143"/>
      <c r="F3" s="143"/>
      <c r="G3" s="143"/>
      <c r="H3" s="143"/>
      <c r="I3" s="143"/>
      <c r="J3" s="143"/>
    </row>
    <row r="4" spans="2:10" ht="14.25" customHeight="1" x14ac:dyDescent="0.25">
      <c r="B4" s="594" t="s">
        <v>41</v>
      </c>
      <c r="C4" s="594"/>
      <c r="D4" s="594"/>
      <c r="E4" s="594"/>
      <c r="F4" s="594"/>
      <c r="G4" s="594"/>
      <c r="H4" s="594"/>
      <c r="I4" s="594"/>
    </row>
    <row r="5" spans="2:10" ht="2.7" customHeight="1" x14ac:dyDescent="0.25">
      <c r="B5" s="593"/>
      <c r="C5" s="593"/>
      <c r="D5" s="593"/>
      <c r="E5" s="593"/>
      <c r="F5" s="593"/>
      <c r="G5" s="593"/>
      <c r="H5" s="593"/>
      <c r="I5" s="593"/>
    </row>
    <row r="6" spans="2:10" ht="17.399999999999999" x14ac:dyDescent="0.25">
      <c r="B6" s="594" t="s">
        <v>42</v>
      </c>
      <c r="C6" s="594"/>
      <c r="D6" s="594"/>
      <c r="E6" s="594"/>
      <c r="F6" s="594"/>
      <c r="G6" s="594"/>
      <c r="H6" s="594"/>
      <c r="I6" s="594"/>
    </row>
    <row r="7" spans="2:10" ht="4.8" customHeight="1" x14ac:dyDescent="0.25">
      <c r="B7" s="593"/>
      <c r="C7" s="593"/>
      <c r="D7" s="593"/>
      <c r="E7" s="593"/>
      <c r="F7" s="593"/>
      <c r="G7" s="593"/>
      <c r="H7" s="593"/>
      <c r="I7" s="593"/>
    </row>
    <row r="8" spans="2:10" ht="108" customHeight="1" x14ac:dyDescent="0.25">
      <c r="B8" s="592" t="s">
        <v>52</v>
      </c>
      <c r="C8" s="592"/>
      <c r="D8" s="592"/>
      <c r="E8" s="592"/>
      <c r="F8" s="598" t="s">
        <v>58</v>
      </c>
      <c r="G8" s="598"/>
      <c r="H8" s="598"/>
      <c r="I8" s="598"/>
      <c r="J8" s="598"/>
    </row>
    <row r="9" spans="2:10" ht="6.15" customHeight="1" x14ac:dyDescent="0.25">
      <c r="B9" s="592"/>
      <c r="C9" s="592"/>
      <c r="D9" s="592"/>
      <c r="E9" s="592"/>
      <c r="F9" s="592"/>
      <c r="G9" s="592"/>
      <c r="H9" s="592"/>
      <c r="I9" s="592"/>
    </row>
    <row r="10" spans="2:10" ht="184.8" customHeight="1" x14ac:dyDescent="0.25">
      <c r="B10" s="592" t="s">
        <v>43</v>
      </c>
      <c r="C10" s="592"/>
      <c r="D10" s="592"/>
      <c r="E10" s="592"/>
      <c r="F10" s="142"/>
      <c r="G10" s="142"/>
      <c r="H10" s="142"/>
      <c r="I10" s="142"/>
    </row>
    <row r="11" spans="2:10" ht="1.35" customHeight="1" x14ac:dyDescent="0.25">
      <c r="B11" s="593"/>
      <c r="C11" s="593"/>
      <c r="D11" s="593"/>
      <c r="E11" s="593"/>
      <c r="F11" s="593"/>
      <c r="G11" s="593"/>
      <c r="H11" s="593"/>
      <c r="I11" s="593"/>
    </row>
    <row r="12" spans="2:10" ht="17.399999999999999" x14ac:dyDescent="0.25">
      <c r="B12" s="594" t="s">
        <v>44</v>
      </c>
      <c r="C12" s="594"/>
      <c r="D12" s="594"/>
      <c r="E12" s="594"/>
      <c r="F12" s="594"/>
      <c r="G12" s="594"/>
      <c r="H12" s="594"/>
      <c r="I12" s="594"/>
    </row>
    <row r="13" spans="2:10" ht="5.4" customHeight="1" x14ac:dyDescent="0.25">
      <c r="B13" s="593"/>
      <c r="C13" s="593"/>
      <c r="D13" s="593"/>
      <c r="E13" s="593"/>
      <c r="F13" s="593"/>
      <c r="G13" s="593"/>
      <c r="H13" s="593"/>
      <c r="I13" s="593"/>
    </row>
    <row r="14" spans="2:10" ht="41.4" customHeight="1" x14ac:dyDescent="0.25">
      <c r="B14" s="592" t="s">
        <v>45</v>
      </c>
      <c r="C14" s="592"/>
      <c r="D14" s="592"/>
      <c r="E14" s="592"/>
      <c r="F14" s="592"/>
      <c r="G14" s="592"/>
      <c r="H14" s="592"/>
      <c r="I14" s="592"/>
      <c r="J14" s="592"/>
    </row>
    <row r="15" spans="2:10" ht="6.15" customHeight="1" x14ac:dyDescent="0.25">
      <c r="B15" s="593"/>
      <c r="C15" s="593"/>
      <c r="D15" s="593"/>
      <c r="E15" s="593"/>
      <c r="F15" s="593"/>
      <c r="G15" s="593"/>
      <c r="H15" s="593"/>
      <c r="I15" s="593"/>
    </row>
    <row r="16" spans="2:10" ht="17.399999999999999" x14ac:dyDescent="0.25">
      <c r="B16" s="594" t="s">
        <v>46</v>
      </c>
      <c r="C16" s="594"/>
      <c r="D16" s="594"/>
      <c r="E16" s="594"/>
      <c r="F16" s="594"/>
      <c r="G16" s="594"/>
      <c r="H16" s="594"/>
      <c r="I16" s="594"/>
    </row>
    <row r="17" spans="2:10" ht="6.15" customHeight="1" x14ac:dyDescent="0.25">
      <c r="B17" s="593"/>
      <c r="C17" s="593"/>
      <c r="D17" s="593"/>
      <c r="E17" s="593"/>
      <c r="F17" s="593"/>
      <c r="G17" s="593"/>
      <c r="H17" s="593"/>
      <c r="I17" s="593"/>
    </row>
    <row r="18" spans="2:10" ht="63.15" customHeight="1" x14ac:dyDescent="0.25">
      <c r="B18" s="592" t="s">
        <v>47</v>
      </c>
      <c r="C18" s="592"/>
      <c r="D18" s="592"/>
      <c r="E18" s="592"/>
      <c r="F18" s="592"/>
      <c r="G18" s="592"/>
      <c r="H18" s="592"/>
      <c r="I18" s="592"/>
      <c r="J18" s="592"/>
    </row>
    <row r="19" spans="2:10" ht="5.4" customHeight="1" x14ac:dyDescent="0.25">
      <c r="B19" s="592"/>
      <c r="C19" s="592"/>
      <c r="D19" s="592"/>
      <c r="E19" s="592"/>
      <c r="F19" s="592"/>
      <c r="G19" s="592"/>
      <c r="H19" s="592"/>
      <c r="I19" s="592"/>
    </row>
    <row r="20" spans="2:10" ht="77.400000000000006" customHeight="1" x14ac:dyDescent="0.25">
      <c r="B20" s="592" t="s">
        <v>48</v>
      </c>
      <c r="C20" s="592"/>
      <c r="D20" s="592"/>
      <c r="E20" s="592"/>
      <c r="F20" s="592"/>
      <c r="G20" s="592"/>
      <c r="H20" s="592"/>
      <c r="I20" s="592"/>
      <c r="J20" s="592"/>
    </row>
    <row r="21" spans="2:10" ht="6.75" customHeight="1" x14ac:dyDescent="0.25">
      <c r="B21" s="593"/>
      <c r="C21" s="593"/>
      <c r="D21" s="593"/>
      <c r="E21" s="593"/>
      <c r="F21" s="593"/>
      <c r="G21" s="593"/>
      <c r="H21" s="593"/>
      <c r="I21" s="593"/>
    </row>
    <row r="22" spans="2:10" ht="20.399999999999999" customHeight="1" x14ac:dyDescent="0.25">
      <c r="B22" s="594" t="s">
        <v>49</v>
      </c>
      <c r="C22" s="594"/>
      <c r="D22" s="594"/>
      <c r="E22" s="594"/>
      <c r="F22" s="594"/>
      <c r="G22" s="594"/>
      <c r="H22" s="594"/>
      <c r="I22" s="594"/>
    </row>
    <row r="23" spans="2:10" x14ac:dyDescent="0.25">
      <c r="B23" s="593"/>
      <c r="C23" s="593"/>
      <c r="D23" s="593"/>
      <c r="E23" s="593"/>
      <c r="F23" s="593"/>
      <c r="G23" s="593"/>
      <c r="H23" s="593"/>
      <c r="I23" s="593"/>
    </row>
    <row r="24" spans="2:10" ht="43.5" customHeight="1" x14ac:dyDescent="0.25">
      <c r="B24" s="592" t="s">
        <v>50</v>
      </c>
      <c r="C24" s="592"/>
      <c r="D24" s="592"/>
      <c r="E24" s="592"/>
      <c r="F24" s="592"/>
      <c r="G24" s="592"/>
      <c r="H24" s="592"/>
      <c r="I24" s="592"/>
      <c r="J24" s="592"/>
    </row>
    <row r="25" spans="2:10" ht="6.75" customHeight="1" x14ac:dyDescent="0.25">
      <c r="B25" s="593"/>
      <c r="C25" s="593"/>
      <c r="D25" s="593"/>
      <c r="E25" s="593"/>
      <c r="F25" s="593"/>
      <c r="G25" s="593"/>
      <c r="H25" s="593"/>
      <c r="I25" s="593"/>
    </row>
    <row r="26" spans="2:10" ht="27.9" customHeight="1" x14ac:dyDescent="0.25">
      <c r="B26" s="592" t="s">
        <v>51</v>
      </c>
      <c r="C26" s="592"/>
      <c r="D26" s="592"/>
      <c r="E26" s="592"/>
      <c r="F26" s="592"/>
      <c r="G26" s="592"/>
      <c r="H26" s="592"/>
      <c r="I26" s="592"/>
      <c r="J26" s="592"/>
    </row>
    <row r="28" spans="2:10" x14ac:dyDescent="0.25">
      <c r="B28" s="141" t="s">
        <v>54</v>
      </c>
    </row>
    <row r="29" spans="2:10" x14ac:dyDescent="0.25">
      <c r="B29" s="141"/>
    </row>
  </sheetData>
  <mergeCells count="25">
    <mergeCell ref="B2:J2"/>
    <mergeCell ref="F8:J8"/>
    <mergeCell ref="B8:E8"/>
    <mergeCell ref="B10:E10"/>
    <mergeCell ref="B14:J14"/>
    <mergeCell ref="B9:I9"/>
    <mergeCell ref="B11:I11"/>
    <mergeCell ref="B12:I12"/>
    <mergeCell ref="B13:I13"/>
    <mergeCell ref="B4:I4"/>
    <mergeCell ref="B5:I5"/>
    <mergeCell ref="B6:I6"/>
    <mergeCell ref="B7:I7"/>
    <mergeCell ref="B18:J18"/>
    <mergeCell ref="B15:I15"/>
    <mergeCell ref="B16:I16"/>
    <mergeCell ref="B17:I17"/>
    <mergeCell ref="B20:J20"/>
    <mergeCell ref="B19:I19"/>
    <mergeCell ref="B24:J24"/>
    <mergeCell ref="B26:J26"/>
    <mergeCell ref="B21:I21"/>
    <mergeCell ref="B22:I22"/>
    <mergeCell ref="B23:I23"/>
    <mergeCell ref="B25:I25"/>
  </mergeCells>
  <pageMargins left="0.23622047244094491" right="0.23622047244094491" top="0.74803149606299213" bottom="0.74803149606299213" header="0.31496062992125984" footer="0.31496062992125984"/>
  <pageSetup paperSize="9" scale="56" orientation="portrait" verticalDpi="0" r:id="rId1"/>
  <headerFooter alignWithMargins="0">
    <oddFooter>&amp;LLEL, Abt.2, K.Schabel, V. Segger&amp;C
&amp;R&amp;D</oddFooter>
  </headerFooter>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FFC000"/>
    <pageSetUpPr fitToPage="1"/>
  </sheetPr>
  <dimension ref="A1:AP100"/>
  <sheetViews>
    <sheetView showGridLines="0" view="pageBreakPreview" topLeftCell="A55" zoomScale="60" zoomScaleNormal="85" workbookViewId="0">
      <selection activeCell="K20" sqref="K20"/>
    </sheetView>
  </sheetViews>
  <sheetFormatPr baseColWidth="10" defaultColWidth="11.33203125" defaultRowHeight="13.2" x14ac:dyDescent="0.25"/>
  <cols>
    <col min="1" max="1" width="1.33203125" style="1" customWidth="1"/>
    <col min="2" max="2" width="33.88671875" style="12" customWidth="1"/>
    <col min="3" max="3" width="17.44140625" style="12" customWidth="1"/>
    <col min="4" max="4" width="6.44140625" style="12" customWidth="1"/>
    <col min="5" max="5" width="18.33203125" style="12" customWidth="1"/>
    <col min="6" max="6" width="8.6640625" style="12" customWidth="1"/>
    <col min="7" max="7" width="29.77734375" style="12" customWidth="1"/>
    <col min="8" max="8" width="20.33203125" style="12" customWidth="1"/>
    <col min="9" max="9" width="9.88671875" style="12" customWidth="1"/>
    <col min="10" max="10" width="10.44140625" style="12" customWidth="1"/>
    <col min="11" max="11" width="9.77734375" style="12" customWidth="1"/>
    <col min="12" max="12" width="0.88671875" style="12" customWidth="1"/>
    <col min="13" max="13" width="4.21875" style="1" hidden="1" customWidth="1"/>
    <col min="14" max="14" width="26.6640625" style="1" hidden="1" customWidth="1"/>
    <col min="15" max="15" width="9.77734375" style="1" hidden="1" customWidth="1"/>
    <col min="16" max="16" width="11.33203125" style="1" hidden="1" customWidth="1"/>
    <col min="17" max="17" width="33.6640625" style="1" hidden="1" customWidth="1"/>
    <col min="18" max="18" width="11.33203125" style="1" customWidth="1"/>
    <col min="19" max="16384" width="11.33203125" style="1"/>
  </cols>
  <sheetData>
    <row r="1" spans="2:35" ht="6.15" customHeight="1" thickBot="1" x14ac:dyDescent="0.35">
      <c r="B1" s="11"/>
      <c r="C1" s="11"/>
      <c r="D1" s="11"/>
      <c r="E1" s="11"/>
      <c r="F1" s="11"/>
      <c r="G1" s="11"/>
      <c r="H1" s="11"/>
      <c r="I1" s="11"/>
      <c r="J1" s="11"/>
      <c r="K1" s="11"/>
      <c r="L1" s="11"/>
      <c r="M1" s="3"/>
      <c r="N1" s="3"/>
      <c r="O1" s="3"/>
    </row>
    <row r="2" spans="2:35" ht="36" customHeight="1" thickBot="1" x14ac:dyDescent="0.35">
      <c r="B2" s="683" t="s">
        <v>191</v>
      </c>
      <c r="C2" s="684"/>
      <c r="D2" s="684"/>
      <c r="E2" s="684"/>
      <c r="F2" s="684"/>
      <c r="G2" s="684"/>
      <c r="H2" s="684"/>
      <c r="I2" s="685" t="s">
        <v>345</v>
      </c>
      <c r="J2" s="686"/>
      <c r="N2" s="3"/>
      <c r="O2" s="3"/>
      <c r="R2" s="657" t="s">
        <v>278</v>
      </c>
      <c r="S2" s="658"/>
      <c r="T2" s="659"/>
    </row>
    <row r="3" spans="2:35" ht="4.05" customHeight="1" thickBot="1" x14ac:dyDescent="0.3">
      <c r="B3" s="74"/>
      <c r="C3" s="74"/>
      <c r="D3" s="74"/>
      <c r="E3" s="74"/>
      <c r="F3" s="74"/>
      <c r="G3" s="74"/>
      <c r="H3" s="74"/>
      <c r="I3" s="74"/>
      <c r="J3" s="74"/>
      <c r="K3" s="11"/>
      <c r="L3" s="11"/>
      <c r="M3"/>
      <c r="N3"/>
      <c r="O3"/>
    </row>
    <row r="4" spans="2:35" ht="22.65" customHeight="1" thickBot="1" x14ac:dyDescent="0.35">
      <c r="B4" s="92" t="s">
        <v>23</v>
      </c>
      <c r="C4" s="695" t="s">
        <v>12</v>
      </c>
      <c r="D4" s="696"/>
      <c r="F4" s="144" t="s">
        <v>24</v>
      </c>
      <c r="G4" s="145" t="s">
        <v>61</v>
      </c>
      <c r="H4" s="92" t="s">
        <v>11</v>
      </c>
      <c r="I4" s="681"/>
      <c r="J4" s="682"/>
      <c r="M4"/>
      <c r="N4"/>
      <c r="O4"/>
      <c r="V4" s="35"/>
    </row>
    <row r="5" spans="2:35" ht="4.8" customHeight="1" x14ac:dyDescent="0.25">
      <c r="B5" s="75"/>
      <c r="C5" s="75"/>
      <c r="D5" s="75"/>
      <c r="E5" s="75"/>
      <c r="F5" s="75"/>
      <c r="G5" s="75"/>
      <c r="H5" s="75"/>
      <c r="I5" s="75"/>
      <c r="J5" s="75"/>
      <c r="K5" s="11"/>
      <c r="L5" s="11"/>
      <c r="M5"/>
      <c r="N5"/>
      <c r="O5"/>
    </row>
    <row r="6" spans="2:35" ht="14.25" customHeight="1" x14ac:dyDescent="0.25">
      <c r="B6" s="107"/>
      <c r="C6" s="108" t="s">
        <v>219</v>
      </c>
      <c r="D6" s="108"/>
      <c r="E6" s="109" t="s">
        <v>22</v>
      </c>
      <c r="F6" s="159" t="s">
        <v>27</v>
      </c>
      <c r="G6" s="426" t="s">
        <v>37</v>
      </c>
      <c r="H6" s="427"/>
      <c r="I6" s="428" t="s">
        <v>25</v>
      </c>
      <c r="J6" s="159"/>
      <c r="L6" s="11"/>
      <c r="M6"/>
      <c r="N6"/>
      <c r="O6"/>
      <c r="S6" s="430" t="s">
        <v>279</v>
      </c>
      <c r="T6" s="425"/>
      <c r="U6" s="425"/>
      <c r="V6" s="425"/>
      <c r="W6" s="425"/>
      <c r="X6" s="425"/>
      <c r="Y6" s="425"/>
      <c r="Z6" s="425"/>
    </row>
    <row r="7" spans="2:35" ht="14.25" customHeight="1" x14ac:dyDescent="0.3">
      <c r="E7" s="109" t="s">
        <v>21</v>
      </c>
      <c r="F7" s="110" t="str">
        <f>IF(F6="","X","")</f>
        <v/>
      </c>
      <c r="G7" s="429"/>
      <c r="H7" s="427"/>
      <c r="I7" s="428" t="s">
        <v>26</v>
      </c>
      <c r="J7" s="110" t="str">
        <f>IF(J6="","X","")</f>
        <v>X</v>
      </c>
      <c r="K7" s="101" t="s">
        <v>0</v>
      </c>
      <c r="L7" s="11"/>
      <c r="M7"/>
      <c r="N7"/>
      <c r="O7"/>
      <c r="S7" s="111"/>
    </row>
    <row r="8" spans="2:35" ht="6" customHeight="1" thickBot="1" x14ac:dyDescent="0.35">
      <c r="C8" s="75"/>
      <c r="D8" s="75"/>
      <c r="E8" s="75"/>
      <c r="F8" s="75"/>
      <c r="G8" s="75"/>
      <c r="H8" s="75"/>
      <c r="I8" s="75"/>
      <c r="J8" s="75"/>
      <c r="K8" s="102"/>
      <c r="L8" s="17"/>
      <c r="M8" s="3"/>
      <c r="N8"/>
      <c r="O8" s="3"/>
      <c r="S8" s="111"/>
    </row>
    <row r="9" spans="2:35" ht="19.5" customHeight="1" x14ac:dyDescent="0.3">
      <c r="B9" s="76" t="s">
        <v>65</v>
      </c>
      <c r="C9" s="77"/>
      <c r="D9" s="77"/>
      <c r="E9" s="552">
        <v>0.107</v>
      </c>
      <c r="F9" s="99" t="str">
        <f>IF($J$7="",E9,"")</f>
        <v/>
      </c>
      <c r="G9" s="78" t="s">
        <v>220</v>
      </c>
      <c r="H9" s="79"/>
      <c r="I9" s="555">
        <v>2.5</v>
      </c>
      <c r="J9" s="80" t="s">
        <v>1</v>
      </c>
      <c r="K9" s="103">
        <f>IF($J$7="",1+F9,1)</f>
        <v>1</v>
      </c>
      <c r="L9" s="16"/>
      <c r="M9"/>
      <c r="N9"/>
      <c r="O9"/>
      <c r="S9" s="430" t="s">
        <v>261</v>
      </c>
      <c r="T9" s="425"/>
      <c r="U9" s="425"/>
      <c r="V9" s="425"/>
      <c r="W9" s="425"/>
      <c r="X9" s="425"/>
      <c r="Y9" s="425"/>
      <c r="Z9" s="425"/>
    </row>
    <row r="10" spans="2:35" ht="19.5" customHeight="1" x14ac:dyDescent="0.3">
      <c r="B10" s="86" t="s">
        <v>20</v>
      </c>
      <c r="C10" s="87"/>
      <c r="D10" s="87"/>
      <c r="E10" s="553">
        <v>0.19</v>
      </c>
      <c r="F10" s="100" t="str">
        <f>IF($J$7="",E10,"")</f>
        <v/>
      </c>
      <c r="G10" s="88" t="s">
        <v>19</v>
      </c>
      <c r="H10" s="89"/>
      <c r="I10" s="556">
        <v>40</v>
      </c>
      <c r="J10" s="90" t="s">
        <v>1</v>
      </c>
      <c r="K10" s="103">
        <f>IF($J$7="",1+F10,1)</f>
        <v>1</v>
      </c>
      <c r="L10" s="16"/>
      <c r="M10"/>
      <c r="N10"/>
      <c r="O10"/>
      <c r="S10" s="112"/>
      <c r="AD10" s="1">
        <f>68.9*0.5</f>
        <v>34.450000000000003</v>
      </c>
    </row>
    <row r="11" spans="2:35" ht="19.5" customHeight="1" thickBot="1" x14ac:dyDescent="0.35">
      <c r="B11" s="81" t="s">
        <v>73</v>
      </c>
      <c r="C11" s="82"/>
      <c r="D11" s="82"/>
      <c r="E11" s="554">
        <v>7.0000000000000007E-2</v>
      </c>
      <c r="F11" s="97" t="str">
        <f>IF($J$7="",E11,"")</f>
        <v/>
      </c>
      <c r="G11" s="84" t="s">
        <v>269</v>
      </c>
      <c r="H11" s="85"/>
      <c r="I11" s="557">
        <v>16</v>
      </c>
      <c r="J11" s="83" t="s">
        <v>9</v>
      </c>
      <c r="K11" s="104">
        <f>IF($J$7="",1+F11,1)</f>
        <v>1</v>
      </c>
      <c r="L11" s="16"/>
      <c r="M11"/>
      <c r="N11"/>
      <c r="O11"/>
      <c r="S11" s="112"/>
    </row>
    <row r="12" spans="2:35" s="135" customFormat="1" ht="7.5" customHeight="1" thickBot="1" x14ac:dyDescent="0.35">
      <c r="B12" s="132"/>
      <c r="C12" s="132"/>
      <c r="D12" s="132"/>
      <c r="E12" s="115"/>
      <c r="F12" s="115"/>
      <c r="G12" s="133"/>
      <c r="H12" s="133"/>
      <c r="I12"/>
      <c r="J12"/>
      <c r="K12" s="116"/>
      <c r="L12" s="25"/>
      <c r="M12" s="134"/>
      <c r="N12" s="134"/>
      <c r="O12" s="134"/>
      <c r="S12" s="134"/>
    </row>
    <row r="13" spans="2:35" ht="17.399999999999999" x14ac:dyDescent="0.3">
      <c r="B13" s="660" t="s">
        <v>38</v>
      </c>
      <c r="C13" s="661"/>
      <c r="D13" s="661"/>
      <c r="E13" s="661"/>
      <c r="F13" s="661"/>
      <c r="G13" s="661"/>
      <c r="H13" s="662"/>
      <c r="I13" s="689" t="s">
        <v>116</v>
      </c>
      <c r="J13" s="690"/>
      <c r="K13" s="116"/>
      <c r="L13" s="16"/>
      <c r="M13"/>
      <c r="N13"/>
      <c r="O13"/>
      <c r="S13" s="112"/>
    </row>
    <row r="14" spans="2:35" ht="15" x14ac:dyDescent="0.25">
      <c r="B14" s="165" t="s">
        <v>31</v>
      </c>
      <c r="C14" s="174" t="s">
        <v>30</v>
      </c>
      <c r="D14" s="174"/>
      <c r="E14" s="558">
        <v>3</v>
      </c>
      <c r="F14" s="124" t="s">
        <v>170</v>
      </c>
      <c r="G14" s="14"/>
      <c r="H14" s="174" t="s">
        <v>117</v>
      </c>
      <c r="I14" s="655">
        <f>76.4*0.5/2.5</f>
        <v>15.280000000000001</v>
      </c>
      <c r="J14" s="656"/>
      <c r="K14" s="116"/>
      <c r="M14"/>
      <c r="N14"/>
      <c r="O14"/>
      <c r="S14" s="114" t="s">
        <v>294</v>
      </c>
    </row>
    <row r="15" spans="2:35" ht="16.2" x14ac:dyDescent="0.35">
      <c r="B15" s="166" t="s">
        <v>221</v>
      </c>
      <c r="C15" s="174" t="s">
        <v>59</v>
      </c>
      <c r="D15" s="174"/>
      <c r="E15" s="559">
        <v>1.27</v>
      </c>
      <c r="F15" s="123" t="s">
        <v>83</v>
      </c>
      <c r="G15" s="14"/>
      <c r="H15" s="174" t="s">
        <v>118</v>
      </c>
      <c r="I15" s="647">
        <f>39.6/2.5</f>
        <v>15.84</v>
      </c>
      <c r="J15" s="648"/>
      <c r="K15" s="116"/>
      <c r="M15"/>
      <c r="N15"/>
      <c r="O15"/>
      <c r="S15" s="114" t="s">
        <v>349</v>
      </c>
      <c r="AI15" s="113" t="s">
        <v>341</v>
      </c>
    </row>
    <row r="16" spans="2:35" ht="19.2" thickBot="1" x14ac:dyDescent="0.45">
      <c r="B16" s="170"/>
      <c r="C16" s="136" t="s">
        <v>60</v>
      </c>
      <c r="D16" s="136"/>
      <c r="E16" s="560">
        <v>1.1499999999999999</v>
      </c>
      <c r="F16" s="137" t="s">
        <v>63</v>
      </c>
      <c r="G16" s="138"/>
      <c r="H16" s="136" t="s">
        <v>119</v>
      </c>
      <c r="I16" s="649">
        <f>31.6/2.5</f>
        <v>12.64</v>
      </c>
      <c r="J16" s="650"/>
      <c r="K16"/>
      <c r="L16" s="11"/>
      <c r="M16"/>
      <c r="N16"/>
      <c r="O16"/>
      <c r="S16" s="112"/>
      <c r="AI16" s="114" t="s">
        <v>340</v>
      </c>
    </row>
    <row r="17" spans="2:42" s="121" customFormat="1" ht="5.4" customHeight="1" thickBot="1" x14ac:dyDescent="0.3">
      <c r="B17" s="117"/>
      <c r="C17" s="118"/>
      <c r="D17" s="118"/>
      <c r="E17" s="118"/>
      <c r="F17" s="175"/>
      <c r="G17" s="117"/>
      <c r="H17" s="117"/>
      <c r="I17" s="117"/>
      <c r="J17" s="117"/>
      <c r="K17" s="119"/>
      <c r="L17" s="120"/>
      <c r="M17" s="119"/>
      <c r="N17" s="119"/>
      <c r="O17" s="119"/>
      <c r="S17" s="119"/>
    </row>
    <row r="18" spans="2:42" ht="25.8" customHeight="1" thickBot="1" x14ac:dyDescent="0.45">
      <c r="B18" s="651" t="str">
        <f>CONCATENATE("100 eingestallte Legehennen und ",E28," monatige Legeperiode")</f>
        <v>100 eingestallte Legehennen und 12 monatige Legeperiode</v>
      </c>
      <c r="C18" s="651"/>
      <c r="D18" s="651"/>
      <c r="E18" s="651"/>
      <c r="F18" s="651"/>
      <c r="G18" s="651"/>
      <c r="H18" s="651"/>
      <c r="I18" s="651"/>
      <c r="J18" s="652"/>
      <c r="K18" s="15"/>
      <c r="L18" s="194" t="str">
        <f>IF($C$20+$C$22&gt;1,"Summe der Anteile muss 100 % ergeben !","")</f>
        <v/>
      </c>
      <c r="M18"/>
      <c r="N18"/>
      <c r="O18"/>
      <c r="P18"/>
      <c r="R18"/>
      <c r="S18" s="630" t="s">
        <v>280</v>
      </c>
      <c r="T18" s="631"/>
      <c r="U18" s="631"/>
      <c r="V18" s="631"/>
      <c r="W18" s="631"/>
      <c r="X18" s="631"/>
      <c r="Y18" s="631"/>
      <c r="Z18" s="631"/>
      <c r="AA18" s="631"/>
      <c r="AB18" s="631"/>
      <c r="AC18" s="631"/>
      <c r="AD18" s="632"/>
      <c r="AI18" s="214" t="s">
        <v>339</v>
      </c>
      <c r="AJ18" s="202"/>
      <c r="AK18" s="202"/>
      <c r="AL18" s="202"/>
      <c r="AM18" s="202">
        <v>2014</v>
      </c>
      <c r="AN18" s="203">
        <v>2015</v>
      </c>
      <c r="AO18" s="561">
        <v>2016</v>
      </c>
      <c r="AP18" s="561">
        <v>2017</v>
      </c>
    </row>
    <row r="19" spans="2:42" ht="20.100000000000001" customHeight="1" thickBot="1" x14ac:dyDescent="0.35">
      <c r="B19" s="423" t="s">
        <v>82</v>
      </c>
      <c r="C19" s="653" t="str">
        <f>IF($C$20+$C$21+$C$22&gt;1,"Summe Anteile 100 %?","Anteile")</f>
        <v>Anteile</v>
      </c>
      <c r="D19" s="653"/>
      <c r="E19" s="654" t="s">
        <v>222</v>
      </c>
      <c r="F19" s="654"/>
      <c r="G19" s="536" t="s">
        <v>154</v>
      </c>
      <c r="H19" s="396"/>
      <c r="I19" s="431" t="s">
        <v>143</v>
      </c>
      <c r="J19" s="397"/>
      <c r="K19" s="15"/>
      <c r="R19"/>
      <c r="S19" s="633"/>
      <c r="T19" s="634"/>
      <c r="U19" s="634"/>
      <c r="V19" s="634"/>
      <c r="W19" s="634"/>
      <c r="X19" s="634"/>
      <c r="Y19" s="634"/>
      <c r="Z19" s="634"/>
      <c r="AA19" s="634"/>
      <c r="AB19" s="634"/>
      <c r="AC19" s="634"/>
      <c r="AD19" s="635"/>
      <c r="AI19" s="204" t="s">
        <v>87</v>
      </c>
      <c r="AJ19" s="205" t="s">
        <v>90</v>
      </c>
      <c r="AK19" s="206" t="s">
        <v>91</v>
      </c>
      <c r="AL19" s="539" t="s">
        <v>284</v>
      </c>
      <c r="AM19" s="206">
        <v>30.53</v>
      </c>
      <c r="AN19" s="207">
        <v>30.82</v>
      </c>
      <c r="AO19" s="563">
        <v>33.28</v>
      </c>
      <c r="AP19" s="562">
        <v>35.1</v>
      </c>
    </row>
    <row r="20" spans="2:42" ht="20.100000000000001" customHeight="1" x14ac:dyDescent="0.25">
      <c r="B20" s="409" t="s">
        <v>95</v>
      </c>
      <c r="C20" s="537">
        <f>100%-C21-C22</f>
        <v>0.95</v>
      </c>
      <c r="D20" s="411" t="s">
        <v>1</v>
      </c>
      <c r="E20" s="403">
        <v>19</v>
      </c>
      <c r="F20" s="395" t="s">
        <v>142</v>
      </c>
      <c r="G20" s="406">
        <v>0</v>
      </c>
      <c r="H20" s="395" t="s">
        <v>173</v>
      </c>
      <c r="I20" s="406">
        <v>0</v>
      </c>
      <c r="J20" s="417" t="s">
        <v>144</v>
      </c>
      <c r="K20" s="98"/>
      <c r="R20" s="636" t="s">
        <v>281</v>
      </c>
      <c r="S20" s="443" t="s">
        <v>127</v>
      </c>
      <c r="T20" s="425"/>
      <c r="U20" s="425"/>
      <c r="V20" s="425"/>
      <c r="W20" s="425"/>
      <c r="X20" s="425"/>
      <c r="Y20" s="630" t="s">
        <v>295</v>
      </c>
      <c r="Z20" s="639"/>
      <c r="AA20" s="639"/>
      <c r="AB20" s="639"/>
      <c r="AC20" s="639"/>
      <c r="AD20" s="640"/>
      <c r="AE20" s="677" t="s">
        <v>283</v>
      </c>
      <c r="AF20" s="678"/>
      <c r="AG20" s="678"/>
      <c r="AH20" s="643"/>
      <c r="AI20" s="208" t="s">
        <v>87</v>
      </c>
      <c r="AJ20" s="205" t="s">
        <v>93</v>
      </c>
      <c r="AK20" s="206" t="s">
        <v>91</v>
      </c>
      <c r="AL20" s="539" t="s">
        <v>284</v>
      </c>
      <c r="AM20" s="206">
        <v>33.31</v>
      </c>
      <c r="AN20" s="209">
        <v>33.47</v>
      </c>
      <c r="AO20" s="563">
        <v>35.25</v>
      </c>
      <c r="AP20" s="562">
        <v>37.869999999999997</v>
      </c>
    </row>
    <row r="21" spans="2:42" ht="20.100000000000001" customHeight="1" x14ac:dyDescent="0.25">
      <c r="B21" s="409" t="s">
        <v>129</v>
      </c>
      <c r="C21" s="538">
        <v>0</v>
      </c>
      <c r="D21" s="412" t="s">
        <v>1</v>
      </c>
      <c r="E21" s="404">
        <v>28</v>
      </c>
      <c r="F21" s="414" t="s">
        <v>142</v>
      </c>
      <c r="G21" s="407">
        <v>2.5</v>
      </c>
      <c r="H21" s="414" t="s">
        <v>174</v>
      </c>
      <c r="I21" s="407">
        <v>0.15</v>
      </c>
      <c r="J21" s="418" t="s">
        <v>144</v>
      </c>
      <c r="K21" s="98"/>
      <c r="R21" s="637"/>
      <c r="S21" s="443" t="s">
        <v>282</v>
      </c>
      <c r="T21" s="425"/>
      <c r="U21" s="425"/>
      <c r="V21" s="425"/>
      <c r="W21" s="425"/>
      <c r="X21" s="425"/>
      <c r="Y21" s="641"/>
      <c r="Z21" s="642"/>
      <c r="AA21" s="642"/>
      <c r="AB21" s="642"/>
      <c r="AC21" s="642"/>
      <c r="AD21" s="643"/>
      <c r="AE21" s="641"/>
      <c r="AF21" s="678"/>
      <c r="AG21" s="678"/>
      <c r="AH21" s="643"/>
      <c r="AI21" s="208" t="s">
        <v>88</v>
      </c>
      <c r="AJ21" s="205" t="s">
        <v>90</v>
      </c>
      <c r="AK21" s="206" t="s">
        <v>91</v>
      </c>
      <c r="AL21" s="539" t="s">
        <v>284</v>
      </c>
      <c r="AM21" s="206">
        <v>24.91</v>
      </c>
      <c r="AN21" s="209">
        <v>25.7</v>
      </c>
      <c r="AO21" s="563">
        <v>26.38</v>
      </c>
      <c r="AP21" s="562">
        <v>26.38</v>
      </c>
    </row>
    <row r="22" spans="2:42" ht="20.100000000000001" customHeight="1" thickBot="1" x14ac:dyDescent="0.35">
      <c r="B22" s="410" t="s">
        <v>101</v>
      </c>
      <c r="C22" s="446">
        <v>0.05</v>
      </c>
      <c r="D22" s="413" t="s">
        <v>1</v>
      </c>
      <c r="E22" s="405">
        <v>40</v>
      </c>
      <c r="F22" s="415" t="s">
        <v>142</v>
      </c>
      <c r="G22" s="408">
        <v>5</v>
      </c>
      <c r="H22" s="416" t="s">
        <v>175</v>
      </c>
      <c r="I22" s="408">
        <v>0.25</v>
      </c>
      <c r="J22" s="419" t="s">
        <v>144</v>
      </c>
      <c r="K22" s="98"/>
      <c r="R22" s="638"/>
      <c r="S22" s="443" t="s">
        <v>201</v>
      </c>
      <c r="T22" s="425"/>
      <c r="U22" s="425"/>
      <c r="V22" s="425"/>
      <c r="W22" s="425"/>
      <c r="X22" s="425"/>
      <c r="Y22" s="644"/>
      <c r="Z22" s="645"/>
      <c r="AA22" s="645"/>
      <c r="AB22" s="645"/>
      <c r="AC22" s="645"/>
      <c r="AD22" s="646"/>
      <c r="AE22" s="641"/>
      <c r="AF22" s="678"/>
      <c r="AG22" s="678"/>
      <c r="AH22" s="643"/>
      <c r="AI22" s="208" t="s">
        <v>88</v>
      </c>
      <c r="AJ22" s="205" t="s">
        <v>93</v>
      </c>
      <c r="AK22" s="206" t="s">
        <v>91</v>
      </c>
      <c r="AL22" s="539" t="s">
        <v>284</v>
      </c>
      <c r="AM22" s="206"/>
      <c r="AN22" s="209"/>
      <c r="AO22" s="564"/>
      <c r="AP22" s="562"/>
    </row>
    <row r="23" spans="2:42" ht="20.100000000000001" customHeight="1" thickBot="1" x14ac:dyDescent="0.35">
      <c r="B23" s="420" t="s">
        <v>171</v>
      </c>
      <c r="C23" s="421"/>
      <c r="D23" s="421"/>
      <c r="E23" s="432">
        <f>C20*E20+C21*E21+C22*E22</f>
        <v>20.05</v>
      </c>
      <c r="F23" s="422" t="s">
        <v>142</v>
      </c>
      <c r="G23" s="106" t="s">
        <v>275</v>
      </c>
      <c r="H23" s="190"/>
      <c r="I23" s="566">
        <v>2.4</v>
      </c>
      <c r="J23" s="233" t="s">
        <v>32</v>
      </c>
      <c r="K23" s="18"/>
      <c r="R23"/>
      <c r="S23" s="114" t="s">
        <v>160</v>
      </c>
      <c r="AI23" s="210" t="s">
        <v>89</v>
      </c>
      <c r="AJ23" s="211" t="s">
        <v>90</v>
      </c>
      <c r="AK23" s="212" t="s">
        <v>91</v>
      </c>
      <c r="AL23" s="540" t="s">
        <v>284</v>
      </c>
      <c r="AM23" s="212">
        <v>24.91</v>
      </c>
      <c r="AN23" s="213">
        <v>25.7</v>
      </c>
      <c r="AO23" s="565">
        <v>26.38</v>
      </c>
      <c r="AP23" s="565">
        <v>26.38</v>
      </c>
    </row>
    <row r="24" spans="2:42" ht="20.100000000000001" customHeight="1" x14ac:dyDescent="0.25">
      <c r="B24" s="218" t="s">
        <v>85</v>
      </c>
      <c r="C24" s="391"/>
      <c r="D24" s="391"/>
      <c r="E24" s="392">
        <v>10.4</v>
      </c>
      <c r="F24" s="235" t="s">
        <v>7</v>
      </c>
      <c r="G24" s="188" t="s">
        <v>79</v>
      </c>
      <c r="H24" s="199"/>
      <c r="I24" s="200">
        <f>$E$14*$I$14+$E$15*$I$15+$E$16*$I$16</f>
        <v>80.492800000000003</v>
      </c>
      <c r="J24" s="237" t="s">
        <v>9</v>
      </c>
      <c r="K24" s="18"/>
      <c r="R24"/>
      <c r="S24" s="114" t="s">
        <v>296</v>
      </c>
      <c r="AB24"/>
      <c r="AC24"/>
      <c r="AD24" s="201"/>
      <c r="AE24" s="201"/>
      <c r="AF24" s="201"/>
      <c r="AG24" s="201"/>
      <c r="AH24" s="201"/>
    </row>
    <row r="25" spans="2:42" ht="20.100000000000001" customHeight="1" thickBot="1" x14ac:dyDescent="0.35">
      <c r="B25" s="106" t="s">
        <v>86</v>
      </c>
      <c r="C25" s="236"/>
      <c r="D25" s="236"/>
      <c r="E25" s="122">
        <v>1</v>
      </c>
      <c r="F25" s="233" t="s">
        <v>7</v>
      </c>
      <c r="G25" s="193" t="s">
        <v>102</v>
      </c>
      <c r="H25" s="250"/>
      <c r="I25" s="223">
        <f>12/E28</f>
        <v>1</v>
      </c>
      <c r="J25" s="251"/>
      <c r="R25"/>
      <c r="S25" s="433" t="s">
        <v>197</v>
      </c>
      <c r="T25" s="425"/>
      <c r="U25" s="425"/>
      <c r="V25" s="425"/>
      <c r="W25" s="425"/>
      <c r="X25" s="425"/>
      <c r="Y25" s="425"/>
      <c r="Z25" s="425"/>
      <c r="AA25" s="425"/>
      <c r="AB25" s="425"/>
      <c r="AC25" s="425"/>
      <c r="AD25" s="425"/>
      <c r="AE25" s="425"/>
    </row>
    <row r="26" spans="2:42" ht="20.100000000000001" customHeight="1" x14ac:dyDescent="0.25">
      <c r="B26" s="106" t="s">
        <v>120</v>
      </c>
      <c r="C26" s="247"/>
      <c r="D26" s="247"/>
      <c r="E26" s="551">
        <v>0.12</v>
      </c>
      <c r="F26" s="239" t="s">
        <v>1</v>
      </c>
      <c r="G26" s="380" t="s">
        <v>274</v>
      </c>
      <c r="H26" s="381"/>
      <c r="I26" s="379">
        <f>SUM(I28:I35)</f>
        <v>193.23887826133165</v>
      </c>
      <c r="J26" s="233" t="s">
        <v>156</v>
      </c>
      <c r="K26" s="18"/>
      <c r="R26"/>
      <c r="S26" s="114" t="s">
        <v>297</v>
      </c>
      <c r="AH26" s="541" t="s">
        <v>285</v>
      </c>
      <c r="AI26" s="260"/>
      <c r="AJ26" s="261"/>
    </row>
    <row r="27" spans="2:42" ht="20.100000000000001" customHeight="1" x14ac:dyDescent="0.25">
      <c r="B27" s="106" t="s">
        <v>132</v>
      </c>
      <c r="C27" s="230">
        <v>0.04</v>
      </c>
      <c r="D27" s="247"/>
      <c r="E27" s="122">
        <v>8</v>
      </c>
      <c r="F27" s="233" t="s">
        <v>108</v>
      </c>
      <c r="G27" s="189" t="s">
        <v>3</v>
      </c>
      <c r="H27" s="241" t="s">
        <v>64</v>
      </c>
      <c r="I27" s="105"/>
      <c r="J27" s="242"/>
      <c r="K27" s="11"/>
      <c r="R27"/>
      <c r="S27" s="114" t="s">
        <v>298</v>
      </c>
      <c r="AH27" s="262" t="s">
        <v>146</v>
      </c>
      <c r="AI27" s="258" t="s">
        <v>147</v>
      </c>
      <c r="AJ27" s="263" t="s">
        <v>148</v>
      </c>
    </row>
    <row r="28" spans="2:42" ht="20.100000000000001" customHeight="1" thickBot="1" x14ac:dyDescent="0.3">
      <c r="B28" s="215" t="s">
        <v>106</v>
      </c>
      <c r="C28" s="240"/>
      <c r="D28" s="240"/>
      <c r="E28" s="220">
        <v>12</v>
      </c>
      <c r="F28" s="233" t="s">
        <v>131</v>
      </c>
      <c r="G28" s="106" t="s">
        <v>81</v>
      </c>
      <c r="H28" s="122">
        <v>16</v>
      </c>
      <c r="I28" s="163">
        <f>IF($J$7="",H28,H28/K28)</f>
        <v>13.445378151260504</v>
      </c>
      <c r="J28" s="233" t="s">
        <v>156</v>
      </c>
      <c r="K28" s="98">
        <f>1+$E$10</f>
        <v>1.19</v>
      </c>
      <c r="R28"/>
      <c r="S28" s="114" t="s">
        <v>299</v>
      </c>
      <c r="AH28" s="264">
        <v>5</v>
      </c>
      <c r="AI28" s="265">
        <v>25</v>
      </c>
      <c r="AJ28" s="266">
        <v>9</v>
      </c>
      <c r="AK28" s="196" t="s">
        <v>286</v>
      </c>
    </row>
    <row r="29" spans="2:42" ht="20.100000000000001" customHeight="1" x14ac:dyDescent="0.25">
      <c r="B29" s="231" t="s">
        <v>126</v>
      </c>
      <c r="C29" s="243"/>
      <c r="D29" s="243"/>
      <c r="E29" s="216">
        <v>14</v>
      </c>
      <c r="F29" s="244" t="s">
        <v>107</v>
      </c>
      <c r="G29" s="106" t="s">
        <v>97</v>
      </c>
      <c r="H29" s="122">
        <f>AH28+AI28+AJ28*E26</f>
        <v>31.08</v>
      </c>
      <c r="I29" s="163">
        <f t="shared" ref="I29" si="0">IF($J$7="",H29,H29/K29)</f>
        <v>28.075880758807585</v>
      </c>
      <c r="J29" s="233" t="s">
        <v>156</v>
      </c>
      <c r="K29" s="183">
        <f>1+$E$9</f>
        <v>1.107</v>
      </c>
      <c r="R29"/>
      <c r="S29" s="114" t="s">
        <v>300</v>
      </c>
    </row>
    <row r="30" spans="2:42" ht="20.100000000000001" customHeight="1" thickBot="1" x14ac:dyDescent="0.3">
      <c r="B30" s="106" t="s">
        <v>138</v>
      </c>
      <c r="C30" s="217"/>
      <c r="D30" s="245"/>
      <c r="E30" s="122">
        <v>55</v>
      </c>
      <c r="F30" s="233" t="s">
        <v>8</v>
      </c>
      <c r="G30" s="106" t="s">
        <v>55</v>
      </c>
      <c r="H30" s="122">
        <v>120</v>
      </c>
      <c r="I30" s="163">
        <f>IF($J$7="",H30,H30/K30)</f>
        <v>100.84033613445379</v>
      </c>
      <c r="J30" s="233" t="s">
        <v>156</v>
      </c>
      <c r="K30" s="98">
        <f t="shared" ref="K30:K34" si="1">1+$E$10</f>
        <v>1.19</v>
      </c>
      <c r="R30"/>
      <c r="S30" s="114" t="s">
        <v>351</v>
      </c>
    </row>
    <row r="31" spans="2:42" ht="20.100000000000001" customHeight="1" x14ac:dyDescent="0.25">
      <c r="B31" s="106" t="s">
        <v>139</v>
      </c>
      <c r="C31" s="234"/>
      <c r="D31" s="399"/>
      <c r="E31" s="398">
        <v>135</v>
      </c>
      <c r="F31" s="233" t="s">
        <v>109</v>
      </c>
      <c r="G31" s="106" t="s">
        <v>98</v>
      </c>
      <c r="H31" s="122">
        <f>AH33*AI33+AJ33</f>
        <v>23.6</v>
      </c>
      <c r="I31" s="163">
        <f>IF($J$7="",H31,H31/K31)</f>
        <v>21.318879855465223</v>
      </c>
      <c r="J31" s="233" t="s">
        <v>156</v>
      </c>
      <c r="K31" s="98">
        <f>1+$E$9</f>
        <v>1.107</v>
      </c>
      <c r="R31"/>
      <c r="S31" s="114" t="s">
        <v>301</v>
      </c>
      <c r="AH31" s="541" t="s">
        <v>287</v>
      </c>
      <c r="AI31" s="260"/>
      <c r="AJ31" s="261"/>
    </row>
    <row r="32" spans="2:42" ht="20.100000000000001" customHeight="1" x14ac:dyDescent="0.25">
      <c r="B32" s="188" t="s">
        <v>125</v>
      </c>
      <c r="C32" s="222">
        <v>4</v>
      </c>
      <c r="D32" s="246" t="s">
        <v>141</v>
      </c>
      <c r="E32" s="216">
        <v>6</v>
      </c>
      <c r="F32" s="237" t="s">
        <v>68</v>
      </c>
      <c r="G32" s="219" t="s">
        <v>172</v>
      </c>
      <c r="H32" s="122">
        <v>10</v>
      </c>
      <c r="I32" s="163">
        <f>IF($J$7="",H32,H32/K32)</f>
        <v>8.4033613445378155</v>
      </c>
      <c r="J32" s="233" t="s">
        <v>156</v>
      </c>
      <c r="K32" s="98">
        <f t="shared" si="1"/>
        <v>1.19</v>
      </c>
      <c r="R32"/>
      <c r="S32" s="114" t="s">
        <v>317</v>
      </c>
      <c r="AH32" s="262" t="s">
        <v>152</v>
      </c>
      <c r="AI32" s="263" t="s">
        <v>151</v>
      </c>
      <c r="AJ32" s="258" t="s">
        <v>153</v>
      </c>
    </row>
    <row r="33" spans="1:38" ht="20.100000000000001" customHeight="1" thickBot="1" x14ac:dyDescent="0.3">
      <c r="B33" s="106" t="s">
        <v>121</v>
      </c>
      <c r="C33" s="190"/>
      <c r="D33" s="190"/>
      <c r="E33" s="161">
        <v>90</v>
      </c>
      <c r="F33" s="233" t="s">
        <v>140</v>
      </c>
      <c r="G33" s="106" t="s">
        <v>80</v>
      </c>
      <c r="H33" s="122">
        <v>5</v>
      </c>
      <c r="I33" s="163">
        <f>IF($J$7="",H33,H33/K33)</f>
        <v>4.2016806722689077</v>
      </c>
      <c r="J33" s="233" t="s">
        <v>156</v>
      </c>
      <c r="K33" s="98">
        <f>1+$E$10</f>
        <v>1.19</v>
      </c>
      <c r="R33"/>
      <c r="S33" s="114" t="s">
        <v>302</v>
      </c>
      <c r="AH33" s="264">
        <v>0.3</v>
      </c>
      <c r="AI33" s="266">
        <v>12</v>
      </c>
      <c r="AJ33" s="265">
        <v>20</v>
      </c>
    </row>
    <row r="34" spans="1:38" ht="20.100000000000001" customHeight="1" x14ac:dyDescent="0.25">
      <c r="B34" s="106" t="str">
        <f>"maßgebl. Neubaukosten/(inkl. Förderung" &amp;IF($J$6=""," ohne Mwst.)", " mit Mwst.)")</f>
        <v>maßgebl. Neubaukosten/(inkl. Förderung ohne Mwst.)</v>
      </c>
      <c r="C34" s="190"/>
      <c r="D34" s="190"/>
      <c r="E34" s="160">
        <f>IF($F$7="",E33*$K$10-E33*$I$10%,E33*$K$10)</f>
        <v>54</v>
      </c>
      <c r="F34" s="233" t="s">
        <v>140</v>
      </c>
      <c r="G34" s="106" t="s">
        <v>56</v>
      </c>
      <c r="H34" s="122">
        <v>10</v>
      </c>
      <c r="I34" s="163">
        <f>IF($J$7="",H34,H34/K34)</f>
        <v>8.4033613445378155</v>
      </c>
      <c r="J34" s="233" t="s">
        <v>156</v>
      </c>
      <c r="K34" s="98">
        <f t="shared" si="1"/>
        <v>1.19</v>
      </c>
      <c r="R34"/>
      <c r="S34" s="114" t="s">
        <v>343</v>
      </c>
    </row>
    <row r="35" spans="1:38" ht="20.100000000000001" customHeight="1" x14ac:dyDescent="0.25">
      <c r="B35" s="106" t="s">
        <v>270</v>
      </c>
      <c r="C35" s="234"/>
      <c r="D35" s="247"/>
      <c r="E35" s="164">
        <v>20</v>
      </c>
      <c r="F35" s="233" t="s">
        <v>4</v>
      </c>
      <c r="G35" s="191" t="s">
        <v>62</v>
      </c>
      <c r="H35" s="162">
        <v>1.4999999999999999E-2</v>
      </c>
      <c r="I35" s="177">
        <f>((E24+E25)*100)/2*$H$35</f>
        <v>8.5499999999999989</v>
      </c>
      <c r="J35" s="237" t="s">
        <v>156</v>
      </c>
      <c r="K35" s="98"/>
      <c r="R35" s="134"/>
    </row>
    <row r="36" spans="1:38" ht="20.100000000000001" customHeight="1" x14ac:dyDescent="0.25">
      <c r="B36" s="106" t="s">
        <v>271</v>
      </c>
      <c r="C36" s="234"/>
      <c r="D36" s="247"/>
      <c r="E36" s="91">
        <v>1</v>
      </c>
      <c r="F36" s="233" t="s">
        <v>1</v>
      </c>
      <c r="G36" s="192" t="s">
        <v>273</v>
      </c>
      <c r="H36" s="122">
        <v>50</v>
      </c>
      <c r="I36" s="176">
        <f>IF($J$7="",H36,H36/K36)</f>
        <v>42.016806722689076</v>
      </c>
      <c r="J36" s="233" t="s">
        <v>156</v>
      </c>
      <c r="K36" s="98">
        <f>1+$E$10</f>
        <v>1.19</v>
      </c>
      <c r="R36" s="134"/>
    </row>
    <row r="37" spans="1:38" ht="20.100000000000001" customHeight="1" x14ac:dyDescent="0.25">
      <c r="B37" s="219" t="s">
        <v>71</v>
      </c>
      <c r="C37" s="247"/>
      <c r="D37" s="247"/>
      <c r="E37" s="182">
        <v>250</v>
      </c>
      <c r="F37" s="248" t="s">
        <v>224</v>
      </c>
      <c r="G37" s="601" t="s">
        <v>110</v>
      </c>
      <c r="H37" s="602"/>
      <c r="I37" s="228">
        <v>35</v>
      </c>
      <c r="J37" s="249" t="s">
        <v>6</v>
      </c>
      <c r="R37" s="134"/>
      <c r="S37" s="430" t="s">
        <v>196</v>
      </c>
      <c r="T37" s="425"/>
      <c r="U37" s="425"/>
      <c r="V37" s="425"/>
      <c r="W37" s="425"/>
      <c r="X37" s="425"/>
      <c r="Y37" s="542" t="s">
        <v>303</v>
      </c>
    </row>
    <row r="38" spans="1:38" ht="20.100000000000001" customHeight="1" thickBot="1" x14ac:dyDescent="0.3">
      <c r="B38" s="393" t="s">
        <v>272</v>
      </c>
      <c r="C38" s="252"/>
      <c r="D38" s="252"/>
      <c r="E38" s="232">
        <v>4</v>
      </c>
      <c r="F38" s="394" t="s">
        <v>122</v>
      </c>
      <c r="G38" s="193" t="s">
        <v>113</v>
      </c>
      <c r="H38" s="252"/>
      <c r="I38" s="229">
        <f>(I20*C20+I21*C21+I22*C22)*1000/60</f>
        <v>0.20833333333333334</v>
      </c>
      <c r="J38" s="253" t="s">
        <v>6</v>
      </c>
      <c r="K38" s="98"/>
      <c r="R38" s="134"/>
      <c r="S38" s="114"/>
    </row>
    <row r="39" spans="1:38" ht="20.100000000000001" customHeight="1" x14ac:dyDescent="0.25">
      <c r="B39" s="267" t="s">
        <v>223</v>
      </c>
      <c r="C39" s="238"/>
      <c r="D39" s="238"/>
      <c r="E39" s="238"/>
      <c r="F39" s="238"/>
      <c r="G39" s="238"/>
      <c r="H39" s="238"/>
      <c r="I39" s="238"/>
      <c r="J39" s="254"/>
      <c r="K39" s="11"/>
      <c r="T39"/>
      <c r="U39"/>
      <c r="V39"/>
      <c r="W39"/>
      <c r="X39"/>
      <c r="Y39"/>
      <c r="Z39"/>
      <c r="AA39"/>
      <c r="AB39"/>
      <c r="AC39"/>
      <c r="AD39"/>
      <c r="AE39"/>
      <c r="AF39"/>
      <c r="AG39"/>
      <c r="AH39"/>
      <c r="AI39"/>
      <c r="AJ39"/>
      <c r="AK39"/>
      <c r="AL39"/>
    </row>
    <row r="40" spans="1:38" ht="7.5" customHeight="1" thickBot="1" x14ac:dyDescent="0.35">
      <c r="B40" s="255"/>
      <c r="C40" s="255"/>
      <c r="D40" s="255"/>
      <c r="E40" s="26"/>
      <c r="F40" s="256"/>
      <c r="G40" s="255"/>
      <c r="H40" s="257"/>
      <c r="I40" s="26"/>
      <c r="J40" s="256"/>
      <c r="K40" s="11"/>
      <c r="R40"/>
      <c r="S40"/>
      <c r="T40"/>
      <c r="U40"/>
      <c r="V40"/>
      <c r="W40"/>
      <c r="X40"/>
      <c r="Y40"/>
      <c r="Z40"/>
      <c r="AA40"/>
      <c r="AB40"/>
      <c r="AC40"/>
      <c r="AD40"/>
      <c r="AE40"/>
      <c r="AF40"/>
      <c r="AG40"/>
      <c r="AH40"/>
      <c r="AI40"/>
      <c r="AJ40"/>
      <c r="AK40"/>
      <c r="AL40"/>
    </row>
    <row r="41" spans="1:38" s="37" customFormat="1" ht="20.100000000000001" customHeight="1" x14ac:dyDescent="0.3">
      <c r="B41" s="270" t="s">
        <v>28</v>
      </c>
      <c r="C41" s="271"/>
      <c r="D41" s="271"/>
      <c r="E41" s="272"/>
      <c r="F41" s="273"/>
      <c r="G41" s="607" t="s">
        <v>115</v>
      </c>
      <c r="H41" s="608"/>
      <c r="I41" s="608"/>
      <c r="J41" s="609"/>
      <c r="K41" s="48"/>
      <c r="R41" s="34"/>
      <c r="S41" s="430" t="s">
        <v>350</v>
      </c>
      <c r="T41" s="430"/>
      <c r="U41" s="430"/>
      <c r="V41" s="430"/>
      <c r="W41" s="430"/>
      <c r="X41" s="430"/>
      <c r="Y41" s="430"/>
      <c r="Z41" s="430"/>
      <c r="AA41" s="430"/>
      <c r="AB41" s="430"/>
      <c r="AC41" s="430"/>
      <c r="AD41" s="430"/>
      <c r="AE41" s="430"/>
      <c r="AF41" s="430"/>
      <c r="AG41" s="430"/>
      <c r="AH41" s="430"/>
      <c r="AI41" s="430"/>
      <c r="AJ41" s="430"/>
      <c r="AK41" s="430"/>
    </row>
    <row r="42" spans="1:38" s="37" customFormat="1" ht="29.25" customHeight="1" thickBot="1" x14ac:dyDescent="0.35">
      <c r="B42" s="274" t="str">
        <f>IF($J$7="",$I$6,$I$7)</f>
        <v xml:space="preserve">Regelbesteuerung </v>
      </c>
      <c r="C42" s="275" t="str">
        <f>IF($F$7="","mit Inv.förderung","ohne Inv.Förderung")</f>
        <v>mit Inv.förderung</v>
      </c>
      <c r="D42" s="275"/>
      <c r="E42" s="276">
        <f>IF($F$6=0," ",$I$10/100)</f>
        <v>0.4</v>
      </c>
      <c r="F42" s="277"/>
      <c r="G42" s="278">
        <v>0.75</v>
      </c>
      <c r="H42" s="278">
        <v>0.8</v>
      </c>
      <c r="I42" s="697">
        <v>0.85</v>
      </c>
      <c r="J42" s="698"/>
      <c r="K42" s="48"/>
      <c r="R42" s="36"/>
      <c r="S42" s="114" t="s">
        <v>304</v>
      </c>
    </row>
    <row r="43" spans="1:38" s="37" customFormat="1" ht="20.100000000000001" customHeight="1" x14ac:dyDescent="0.3">
      <c r="B43" s="279" t="s">
        <v>105</v>
      </c>
      <c r="C43" s="271"/>
      <c r="D43" s="280"/>
      <c r="E43" s="281"/>
      <c r="F43" s="282" t="s">
        <v>107</v>
      </c>
      <c r="G43" s="283">
        <v>20</v>
      </c>
      <c r="H43" s="284">
        <v>20</v>
      </c>
      <c r="I43" s="628">
        <v>20</v>
      </c>
      <c r="J43" s="629"/>
      <c r="K43" s="48"/>
      <c r="L43" s="61"/>
      <c r="M43" s="41"/>
      <c r="N43" s="41"/>
      <c r="O43" s="62"/>
      <c r="P43" s="181"/>
      <c r="Q43" s="34"/>
      <c r="R43" s="36"/>
      <c r="S43" s="114" t="s">
        <v>305</v>
      </c>
    </row>
    <row r="44" spans="1:38" s="37" customFormat="1" ht="20.100000000000001" customHeight="1" x14ac:dyDescent="0.3">
      <c r="B44" s="279" t="s">
        <v>111</v>
      </c>
      <c r="C44" s="285"/>
      <c r="D44" s="285"/>
      <c r="E44" s="286"/>
      <c r="F44" s="287" t="s">
        <v>107</v>
      </c>
      <c r="G44" s="288">
        <f>$E$28*30.4-G43-$E$29</f>
        <v>330.79999999999995</v>
      </c>
      <c r="H44" s="289">
        <f>$E$28*30.4-H43-$E$29</f>
        <v>330.79999999999995</v>
      </c>
      <c r="I44" s="610">
        <f>$E$28*30.4-I43-$E$29</f>
        <v>330.79999999999995</v>
      </c>
      <c r="J44" s="611">
        <f>$E$28*30.4-J43-$E$29</f>
        <v>350.79999999999995</v>
      </c>
      <c r="K44" s="48"/>
      <c r="L44" s="61"/>
      <c r="M44" s="41"/>
      <c r="N44" s="41"/>
      <c r="O44" s="62"/>
      <c r="P44" s="181"/>
      <c r="Q44" s="34"/>
      <c r="R44" s="36"/>
      <c r="S44" s="114"/>
    </row>
    <row r="45" spans="1:38" s="37" customFormat="1" ht="20.100000000000001" customHeight="1" x14ac:dyDescent="0.3">
      <c r="B45" s="279" t="s">
        <v>207</v>
      </c>
      <c r="C45" s="285"/>
      <c r="D45" s="285"/>
      <c r="E45" s="286"/>
      <c r="F45" s="287" t="s">
        <v>112</v>
      </c>
      <c r="G45" s="288">
        <f>G42*G44-((G42*G44)*$E$26/2)</f>
        <v>233.21399999999997</v>
      </c>
      <c r="H45" s="289">
        <f>H42*H44-((H42*H44)*$E$26/2)</f>
        <v>248.76159999999999</v>
      </c>
      <c r="I45" s="610">
        <f>I42*I44-((I42*I44)*$E$26/2)</f>
        <v>264.30919999999998</v>
      </c>
      <c r="J45" s="611">
        <f>J42*J44-((J42*J44)*$E$26/2)</f>
        <v>0</v>
      </c>
      <c r="K45" s="48"/>
      <c r="L45" s="61"/>
      <c r="M45" s="41"/>
      <c r="N45" s="41"/>
      <c r="O45" s="62"/>
      <c r="P45" s="181"/>
      <c r="Q45" s="34"/>
      <c r="R45" s="36"/>
      <c r="S45" s="114" t="s">
        <v>288</v>
      </c>
    </row>
    <row r="46" spans="1:38" s="37" customFormat="1" ht="20.100000000000001" customHeight="1" x14ac:dyDescent="0.3">
      <c r="A46" s="221"/>
      <c r="B46" s="290" t="s">
        <v>208</v>
      </c>
      <c r="C46" s="291"/>
      <c r="D46" s="291"/>
      <c r="E46" s="292"/>
      <c r="F46" s="293" t="s">
        <v>112</v>
      </c>
      <c r="G46" s="294">
        <f>G45-(G45*$C$27)</f>
        <v>223.88543999999996</v>
      </c>
      <c r="H46" s="295">
        <f>H45-(H45*$C$27)</f>
        <v>238.81113599999998</v>
      </c>
      <c r="I46" s="699">
        <f>I45-(I45*$C$27)</f>
        <v>253.73683199999996</v>
      </c>
      <c r="J46" s="700"/>
      <c r="K46" s="48"/>
      <c r="L46" s="61"/>
      <c r="M46" s="41"/>
      <c r="N46" s="41"/>
      <c r="O46" s="62"/>
      <c r="P46" s="181"/>
      <c r="Q46" s="34"/>
      <c r="R46" s="36"/>
      <c r="S46" s="114" t="s">
        <v>306</v>
      </c>
    </row>
    <row r="47" spans="1:38" ht="20.100000000000001" customHeight="1" x14ac:dyDescent="0.25">
      <c r="B47" s="296" t="str">
        <f>"Eierpreis A-Ware Ø aus allen Vermarktugsformen"&amp;IF($J$7=""," (inkl. 10,7 % Mwst.)"," (ohne Mwst.)")</f>
        <v>Eierpreis A-Ware Ø aus allen Vermarktugsformen (ohne Mwst.)</v>
      </c>
      <c r="C47" s="297"/>
      <c r="D47" s="297"/>
      <c r="E47" s="298"/>
      <c r="F47" s="299" t="s">
        <v>276</v>
      </c>
      <c r="G47" s="300">
        <f>E23*$K$9</f>
        <v>20.05</v>
      </c>
      <c r="H47" s="301">
        <f>E23*$K$9</f>
        <v>20.05</v>
      </c>
      <c r="I47" s="691">
        <f>E23*$K$9</f>
        <v>20.05</v>
      </c>
      <c r="J47" s="692"/>
      <c r="K47" s="11"/>
      <c r="L47" s="15"/>
      <c r="M47" s="58"/>
      <c r="N47" s="58"/>
      <c r="O47" s="59"/>
      <c r="P47" s="180"/>
      <c r="Q47" s="36"/>
      <c r="R47" s="2"/>
      <c r="S47" s="112"/>
    </row>
    <row r="48" spans="1:38" ht="20.100000000000001" customHeight="1" x14ac:dyDescent="0.25">
      <c r="B48" s="279" t="str">
        <f>"Erlös vermarktete Eier je 100 eingestallter Hennen"&amp;IF($J$7=""," (inkl. 10,7 % Mwst.)"," (ohne Mwst.)")</f>
        <v>Erlös vermarktete Eier je 100 eingestallter Hennen (ohne Mwst.)</v>
      </c>
      <c r="C48" s="302"/>
      <c r="D48" s="302"/>
      <c r="E48" s="303"/>
      <c r="F48" s="304" t="s">
        <v>9</v>
      </c>
      <c r="G48" s="305">
        <f>G46*G47/100*100</f>
        <v>4488.9030719999992</v>
      </c>
      <c r="H48" s="305">
        <f>H46*H47/100*100</f>
        <v>4788.1632767999999</v>
      </c>
      <c r="I48" s="622">
        <f t="shared" ref="I48:J48" si="2">I46*I47/100*100</f>
        <v>5087.4234815999998</v>
      </c>
      <c r="J48" s="623">
        <f t="shared" si="2"/>
        <v>0</v>
      </c>
      <c r="K48" s="13"/>
      <c r="S48" s="112"/>
    </row>
    <row r="49" spans="2:27" ht="20.100000000000001" customHeight="1" x14ac:dyDescent="0.25">
      <c r="B49" s="279" t="str">
        <f>"Erlös Knickeier je 100 eingestallter Hennen"&amp;IF($J$7=""," (inkl. 10,7 % Mwst.)"," (ohne Mwst.)")</f>
        <v>Erlös Knickeier je 100 eingestallter Hennen (ohne Mwst.)</v>
      </c>
      <c r="C49" s="302"/>
      <c r="D49" s="302"/>
      <c r="E49" s="303"/>
      <c r="F49" s="304" t="s">
        <v>9</v>
      </c>
      <c r="G49" s="305">
        <f>G45*100*$C$27*$E$27/100</f>
        <v>74.628479999999996</v>
      </c>
      <c r="H49" s="305">
        <f>H45*100*$C$27*$E$27/100</f>
        <v>79.603712000000002</v>
      </c>
      <c r="I49" s="622">
        <f>I45*100*$C$27*$E$27/100</f>
        <v>84.578943999999993</v>
      </c>
      <c r="J49" s="623"/>
      <c r="K49" s="13"/>
      <c r="S49" s="112"/>
    </row>
    <row r="50" spans="2:27" ht="20.100000000000001" customHeight="1" x14ac:dyDescent="0.25">
      <c r="B50" s="279" t="str">
        <f>"Alttiererlös nach Hennenverlusten"&amp;IF($J$7=""," (inkl. 10,7 % Mwst.)"," (ohne Mwst.)")</f>
        <v>Alttiererlös nach Hennenverlusten (ohne Mwst.)</v>
      </c>
      <c r="C50" s="302"/>
      <c r="D50" s="302"/>
      <c r="E50" s="303"/>
      <c r="F50" s="304" t="s">
        <v>9</v>
      </c>
      <c r="G50" s="306">
        <f>$E$25*100*(1-$E$26)*$K$9</f>
        <v>88</v>
      </c>
      <c r="H50" s="306">
        <f>$E$25*100*(1-$E$26)*$K$9</f>
        <v>88</v>
      </c>
      <c r="I50" s="693">
        <f>$E$25*100*(1-$E$26)*$K$9</f>
        <v>88</v>
      </c>
      <c r="J50" s="694"/>
      <c r="K50" s="13"/>
      <c r="L50" s="13"/>
      <c r="M50" s="47"/>
      <c r="N50" s="47"/>
      <c r="O50" s="66"/>
      <c r="P50" s="66"/>
      <c r="Q50" s="66"/>
      <c r="R50" s="66"/>
      <c r="S50" s="112"/>
    </row>
    <row r="51" spans="2:27" ht="20.100000000000001" customHeight="1" x14ac:dyDescent="0.25">
      <c r="B51" s="279" t="str">
        <f>"Düngerwert"&amp;IF($J$7=""," (inkl. 19 % Mwst.)"," (ohne Mwst.)")</f>
        <v>Düngerwert (ohne Mwst.)</v>
      </c>
      <c r="C51" s="302"/>
      <c r="D51" s="302"/>
      <c r="E51" s="303"/>
      <c r="F51" s="304" t="s">
        <v>9</v>
      </c>
      <c r="G51" s="307">
        <f>((($I$23*$I$24)/$I$25)-(($I$23*$I$24)/$I$25)*$E$26%/2)*$K$10</f>
        <v>193.06681036799998</v>
      </c>
      <c r="H51" s="307">
        <f>((($I$23*$I$24)/$I$25)-(($I$23*$I$24)/$I$25)*$E$26%/2)*$K$10</f>
        <v>193.06681036799998</v>
      </c>
      <c r="I51" s="620">
        <f t="shared" ref="I51:J51" si="3">((($I$23*$I$24)/$I$25)-(($I$23*$I$24)/$I$25)*$E$26%/2)*$K$10</f>
        <v>193.06681036799998</v>
      </c>
      <c r="J51" s="621">
        <f t="shared" si="3"/>
        <v>193.06681036799998</v>
      </c>
      <c r="K51" s="13"/>
      <c r="L51" s="13"/>
      <c r="M51" s="47"/>
      <c r="N51" s="47"/>
      <c r="O51" s="65"/>
      <c r="P51" s="65"/>
      <c r="Q51" s="139"/>
      <c r="R51" s="67"/>
      <c r="S51" s="114"/>
    </row>
    <row r="52" spans="2:27" s="44" customFormat="1" ht="20.100000000000001" customHeight="1" x14ac:dyDescent="0.35">
      <c r="B52" s="308" t="str">
        <f>"Summe Leistung (inkl. Düngerwert)"&amp;IF($J$7=""," (brutto)"," (netto) ")</f>
        <v xml:space="preserve">Summe Leistung (inkl. Düngerwert) (netto) </v>
      </c>
      <c r="C52" s="309"/>
      <c r="D52" s="309"/>
      <c r="E52" s="310" t="s">
        <v>180</v>
      </c>
      <c r="F52" s="311" t="s">
        <v>9</v>
      </c>
      <c r="G52" s="312">
        <f>G48+G49+G50+G51</f>
        <v>4844.5983623679995</v>
      </c>
      <c r="H52" s="312">
        <f>H48+H49+H50+H51</f>
        <v>5148.833799168</v>
      </c>
      <c r="I52" s="599">
        <f>I48+I49+I50+I51</f>
        <v>5453.0692359679997</v>
      </c>
      <c r="J52" s="600">
        <f t="shared" ref="J52" si="4">J48+J49+J50+J51</f>
        <v>193.06681036799998</v>
      </c>
      <c r="K52" s="43"/>
      <c r="L52" s="13"/>
      <c r="M52" s="47"/>
      <c r="N52" s="47"/>
      <c r="O52" s="65"/>
      <c r="P52" s="65"/>
      <c r="Q52" s="139"/>
      <c r="R52" s="67"/>
      <c r="S52" s="114"/>
      <c r="T52" s="45"/>
      <c r="U52" s="45"/>
      <c r="V52" s="45"/>
      <c r="W52" s="45"/>
      <c r="X52" s="45"/>
      <c r="Y52" s="45"/>
      <c r="Z52" s="45"/>
      <c r="AA52" s="45"/>
    </row>
    <row r="53" spans="2:27" s="44" customFormat="1" ht="20.100000000000001" customHeight="1" x14ac:dyDescent="0.35">
      <c r="B53" s="279" t="s">
        <v>209</v>
      </c>
      <c r="C53" s="302"/>
      <c r="D53" s="302"/>
      <c r="E53" s="303"/>
      <c r="F53" s="304" t="s">
        <v>5</v>
      </c>
      <c r="G53" s="313">
        <f>$E$31/100000*(100-(100*$E$26)/2)*($E$28*30.4-$E$29)</f>
        <v>44.51652</v>
      </c>
      <c r="H53" s="313">
        <f>$E$31/100000*(100-(100*$E$26)/2)*($E$28*30.4-$E$29)</f>
        <v>44.51652</v>
      </c>
      <c r="I53" s="679">
        <f t="shared" ref="I53:J53" si="5">$E$31/100000*(100-(100*$E$26)/2)*($E$28*30.4-$E$29)</f>
        <v>44.51652</v>
      </c>
      <c r="J53" s="680">
        <f t="shared" si="5"/>
        <v>44.51652</v>
      </c>
      <c r="K53" s="43"/>
      <c r="L53" s="13"/>
      <c r="M53" s="47"/>
      <c r="N53" s="47"/>
      <c r="O53" s="65"/>
      <c r="P53" s="65"/>
      <c r="Q53" s="139"/>
      <c r="R53" s="67"/>
      <c r="S53" s="114" t="s">
        <v>178</v>
      </c>
      <c r="T53" s="45"/>
      <c r="U53" s="45"/>
      <c r="V53" s="45"/>
      <c r="W53" s="45"/>
      <c r="X53" s="45"/>
      <c r="Y53" s="45"/>
      <c r="Z53" s="45"/>
      <c r="AA53" s="45"/>
    </row>
    <row r="54" spans="2:27" s="44" customFormat="1" ht="20.100000000000001" customHeight="1" x14ac:dyDescent="0.35">
      <c r="B54" s="314" t="s">
        <v>214</v>
      </c>
      <c r="C54" s="315"/>
      <c r="D54" s="315"/>
      <c r="E54" s="316"/>
      <c r="F54" s="317" t="s">
        <v>5</v>
      </c>
      <c r="G54" s="318">
        <f>$C$32/100*100/I25</f>
        <v>4</v>
      </c>
      <c r="H54" s="318">
        <f>$C$32/100*100/I25</f>
        <v>4</v>
      </c>
      <c r="I54" s="687">
        <f>$C$32/100*100/I25</f>
        <v>4</v>
      </c>
      <c r="J54" s="688">
        <f>$C$32*100</f>
        <v>400</v>
      </c>
      <c r="K54" s="43"/>
      <c r="L54" s="13"/>
      <c r="M54" s="47"/>
      <c r="N54" s="47"/>
      <c r="O54" s="65"/>
      <c r="P54" s="65"/>
      <c r="Q54" s="139"/>
      <c r="R54" s="67"/>
      <c r="S54" s="114"/>
      <c r="T54" s="45"/>
      <c r="U54" s="45"/>
      <c r="V54" s="45"/>
      <c r="W54" s="45"/>
      <c r="X54" s="45"/>
      <c r="Y54" s="45"/>
      <c r="Z54" s="45"/>
      <c r="AA54" s="45"/>
    </row>
    <row r="55" spans="2:27" s="44" customFormat="1" ht="20.100000000000001" customHeight="1" x14ac:dyDescent="0.35">
      <c r="B55" s="279" t="str">
        <f>"Futterkosten gesamt je Durchgang"&amp;IF($J$7=""," (inkl.7 % Mwst.)"," (ohne Mwst.)")</f>
        <v>Futterkosten gesamt je Durchgang (ohne Mwst.)</v>
      </c>
      <c r="C55" s="302"/>
      <c r="D55" s="302"/>
      <c r="E55" s="303"/>
      <c r="F55" s="304" t="s">
        <v>9</v>
      </c>
      <c r="G55" s="305">
        <f>G53*$E$30*$K$11+G54*$E$32*$K$11</f>
        <v>2472.4086000000002</v>
      </c>
      <c r="H55" s="305">
        <f>H53*$E$30*$K$11+H54*$E$32*$K$11</f>
        <v>2472.4086000000002</v>
      </c>
      <c r="I55" s="673">
        <f>I53*$E$30*$K$11+I54*$E$32*$K$11</f>
        <v>2472.4086000000002</v>
      </c>
      <c r="J55" s="674">
        <f>J53*$E$30*$K$11+J54*$E$32*$K$11</f>
        <v>4848.4086000000007</v>
      </c>
      <c r="K55" s="43"/>
      <c r="L55" s="13"/>
      <c r="M55" s="47"/>
      <c r="N55" s="47"/>
      <c r="O55" s="65"/>
      <c r="P55" s="65"/>
      <c r="Q55" s="139"/>
      <c r="R55" s="67"/>
      <c r="S55" s="114"/>
      <c r="T55" s="45"/>
      <c r="U55" s="45"/>
      <c r="V55" s="45"/>
      <c r="W55" s="45"/>
      <c r="X55" s="45"/>
      <c r="Y55" s="45"/>
      <c r="Z55" s="45"/>
      <c r="AA55" s="45"/>
    </row>
    <row r="56" spans="2:27" ht="20.100000000000001" customHeight="1" x14ac:dyDescent="0.3">
      <c r="B56" s="279" t="str">
        <f>"Kosten Jungtiere"&amp;IF(J7=""," (inkl. 7 % Mwst.)","")</f>
        <v>Kosten Jungtiere</v>
      </c>
      <c r="C56" s="302"/>
      <c r="D56" s="302"/>
      <c r="E56" s="303"/>
      <c r="F56" s="304" t="s">
        <v>9</v>
      </c>
      <c r="G56" s="305">
        <f>$E$24*$K$11*100</f>
        <v>1040</v>
      </c>
      <c r="H56" s="305">
        <f>$E$24*$K$11*100</f>
        <v>1040</v>
      </c>
      <c r="I56" s="622">
        <f>$E$24*$K$11*100</f>
        <v>1040</v>
      </c>
      <c r="J56" s="623"/>
      <c r="L56" s="64"/>
      <c r="M56" s="41"/>
      <c r="N56" s="41"/>
      <c r="O56" s="63"/>
      <c r="P56" s="63"/>
      <c r="Q56" s="139"/>
      <c r="R56" s="67"/>
      <c r="S56" s="114"/>
    </row>
    <row r="57" spans="2:27" ht="20.100000000000001" customHeight="1" x14ac:dyDescent="0.3">
      <c r="B57" s="279" t="str">
        <f>"Sonstige variable Kosten je Durchgang"&amp;IF($J$7=""," (brutto)"," (netto)")&amp;" inkl. Zinsansatz"</f>
        <v>Sonstige variable Kosten je Durchgang (netto) inkl. Zinsansatz</v>
      </c>
      <c r="C57" s="302"/>
      <c r="D57" s="302"/>
      <c r="E57" s="303"/>
      <c r="F57" s="304" t="s">
        <v>9</v>
      </c>
      <c r="G57" s="307">
        <f>$I$26/$I$25</f>
        <v>193.23887826133165</v>
      </c>
      <c r="H57" s="307">
        <f>$I$26/$I$25</f>
        <v>193.23887826133165</v>
      </c>
      <c r="I57" s="620">
        <f>$I$26/$I$25</f>
        <v>193.23887826133165</v>
      </c>
      <c r="J57" s="621">
        <f>$I$26/$I$25</f>
        <v>193.23887826133165</v>
      </c>
      <c r="L57" s="64"/>
      <c r="M57" s="41"/>
      <c r="N57" s="41"/>
      <c r="O57" s="63"/>
      <c r="P57" s="63"/>
      <c r="Q57" s="139"/>
      <c r="R57" s="67"/>
      <c r="S57" s="114"/>
    </row>
    <row r="58" spans="2:27" ht="20.100000000000001" customHeight="1" x14ac:dyDescent="0.3">
      <c r="B58" s="279" t="str">
        <f>"Vermarktung je Durchgang"&amp;IF($J$7=""," (inkl. 19 % Mwst.)"," (ohne Mwst.)")</f>
        <v>Vermarktung je Durchgang (ohne Mwst.)</v>
      </c>
      <c r="C58" s="302"/>
      <c r="D58" s="302"/>
      <c r="E58" s="303"/>
      <c r="F58" s="304" t="s">
        <v>9</v>
      </c>
      <c r="G58" s="307">
        <f>100*(G45*$C$20*$G$20/100+G45*$C$21*$G$21/100+G45*$C$22*$G$22/100)*$K$10</f>
        <v>58.3035</v>
      </c>
      <c r="H58" s="307">
        <f>100*(H45*$C$20*$G$20/100+H45*$C$21*$G$21/100+H45*$C$22*$G$22/100)*$K$10</f>
        <v>62.190400000000004</v>
      </c>
      <c r="I58" s="620">
        <f>100*(I45*$C$20*$G$20/100+I45*$C$21*$G$21/100+I45*$C$22*$G$22/100)*$K$10</f>
        <v>66.077300000000008</v>
      </c>
      <c r="J58" s="621">
        <f t="shared" ref="J58" si="6">100*(J45*$C$20*$G$20/100+J45*$C$21*$G$21/100+J45*$C$22*$G$22/100)*$K$10</f>
        <v>0</v>
      </c>
      <c r="L58" s="64"/>
      <c r="M58" s="41"/>
      <c r="N58" s="41"/>
      <c r="O58" s="63"/>
      <c r="P58" s="63"/>
      <c r="Q58" s="139"/>
      <c r="R58" s="67"/>
      <c r="S58" s="111"/>
    </row>
    <row r="59" spans="2:27" s="44" customFormat="1" ht="20.100000000000001" customHeight="1" x14ac:dyDescent="0.35">
      <c r="B59" s="290" t="str">
        <f>"Summe variable Kosten"&amp;IF($J$7=""," (brutto)"," (netto) ")</f>
        <v xml:space="preserve">Summe variable Kosten (netto) </v>
      </c>
      <c r="C59" s="319"/>
      <c r="D59" s="319"/>
      <c r="E59" s="320" t="s">
        <v>134</v>
      </c>
      <c r="F59" s="321" t="s">
        <v>9</v>
      </c>
      <c r="G59" s="322">
        <f>SUM(G55:G58)</f>
        <v>3763.9509782613318</v>
      </c>
      <c r="H59" s="322">
        <f>SUM(H55:H58)</f>
        <v>3767.8378782613318</v>
      </c>
      <c r="I59" s="618">
        <f>I55+I56+I57+I58</f>
        <v>3771.7247782613317</v>
      </c>
      <c r="J59" s="619"/>
      <c r="K59" s="46"/>
      <c r="L59" s="46"/>
      <c r="M59" s="45"/>
      <c r="N59" s="45"/>
      <c r="O59" s="45"/>
      <c r="P59" s="45"/>
      <c r="Q59" s="45"/>
      <c r="R59" s="45"/>
      <c r="S59" s="114" t="s">
        <v>307</v>
      </c>
      <c r="T59" s="45"/>
      <c r="U59" s="45"/>
    </row>
    <row r="60" spans="2:27" s="44" customFormat="1" ht="20.100000000000001" customHeight="1" x14ac:dyDescent="0.35">
      <c r="B60" s="290"/>
      <c r="C60" s="302"/>
      <c r="D60" s="319"/>
      <c r="E60" s="320" t="s">
        <v>155</v>
      </c>
      <c r="F60" s="321" t="s">
        <v>9</v>
      </c>
      <c r="G60" s="323">
        <f>G59/100/G46</f>
        <v>0.16811950693449884</v>
      </c>
      <c r="H60" s="323">
        <f>H59/100/H46</f>
        <v>0.1577747981677593</v>
      </c>
      <c r="I60" s="669">
        <f t="shared" ref="I60:J60" si="7">I59/100/I46</f>
        <v>0.14864711396181271</v>
      </c>
      <c r="J60" s="670" t="e">
        <f t="shared" si="7"/>
        <v>#DIV/0!</v>
      </c>
      <c r="K60" s="46"/>
      <c r="L60" s="46"/>
      <c r="M60" s="45"/>
      <c r="N60" s="45"/>
      <c r="O60" s="45"/>
      <c r="P60" s="45"/>
      <c r="Q60" s="45"/>
      <c r="R60" s="45"/>
      <c r="S60" s="224"/>
      <c r="T60" s="45"/>
      <c r="U60" s="45"/>
    </row>
    <row r="61" spans="2:27" s="37" customFormat="1" ht="20.100000000000001" customHeight="1" x14ac:dyDescent="0.3">
      <c r="B61" s="344" t="s">
        <v>133</v>
      </c>
      <c r="C61" s="444"/>
      <c r="D61" s="345"/>
      <c r="E61" s="445" t="s">
        <v>134</v>
      </c>
      <c r="F61" s="347" t="s">
        <v>9</v>
      </c>
      <c r="G61" s="348">
        <f>G52-G59</f>
        <v>1080.6473841066677</v>
      </c>
      <c r="H61" s="348">
        <f>H52-H59</f>
        <v>1380.9959209066683</v>
      </c>
      <c r="I61" s="616">
        <f>I52-I59</f>
        <v>1681.344457706668</v>
      </c>
      <c r="J61" s="617"/>
      <c r="K61" s="48"/>
      <c r="L61" s="48"/>
      <c r="M61" s="34"/>
      <c r="N61" s="34"/>
      <c r="O61" s="34"/>
      <c r="P61" s="34"/>
      <c r="Q61" s="34"/>
      <c r="R61" s="34"/>
      <c r="S61" s="225"/>
      <c r="T61" s="34"/>
      <c r="U61" s="34"/>
    </row>
    <row r="62" spans="2:27" s="37" customFormat="1" ht="20.100000000000001" customHeight="1" x14ac:dyDescent="0.3">
      <c r="B62" s="349"/>
      <c r="C62" s="350"/>
      <c r="D62" s="350"/>
      <c r="E62" s="340" t="s">
        <v>135</v>
      </c>
      <c r="F62" s="341" t="s">
        <v>9</v>
      </c>
      <c r="G62" s="369">
        <f>G61*$I$25</f>
        <v>1080.6473841066677</v>
      </c>
      <c r="H62" s="369">
        <f>H61*$I$25</f>
        <v>1380.9959209066683</v>
      </c>
      <c r="I62" s="624">
        <f>I61*$I$25</f>
        <v>1681.344457706668</v>
      </c>
      <c r="J62" s="625"/>
      <c r="K62" s="48"/>
      <c r="L62" s="48"/>
      <c r="M62" s="34"/>
      <c r="N62" s="34"/>
      <c r="O62" s="34"/>
      <c r="P62" s="34"/>
      <c r="Q62" s="34"/>
      <c r="R62" s="34"/>
      <c r="S62" s="225"/>
      <c r="T62" s="34"/>
      <c r="U62" s="34"/>
    </row>
    <row r="63" spans="2:27" s="44" customFormat="1" ht="20.100000000000001" customHeight="1" x14ac:dyDescent="0.35">
      <c r="B63" s="328" t="s">
        <v>225</v>
      </c>
      <c r="C63" s="329"/>
      <c r="D63" s="329"/>
      <c r="E63" s="330"/>
      <c r="F63" s="331" t="s">
        <v>1</v>
      </c>
      <c r="G63" s="332">
        <f>G61/(G64+G65+G66+G72)</f>
        <v>0.99943822435540186</v>
      </c>
      <c r="H63" s="332">
        <f>H61/(H64+H65+H66+H72)</f>
        <v>1.2711233956994308</v>
      </c>
      <c r="I63" s="671">
        <f>I61/(I64+I65+I66+I72)</f>
        <v>1.5402288825012727</v>
      </c>
      <c r="J63" s="672">
        <f>J61/(J64+J65+J66+J72)</f>
        <v>0</v>
      </c>
      <c r="K63" s="46"/>
      <c r="L63" s="46"/>
      <c r="M63" s="45"/>
      <c r="N63" s="45"/>
      <c r="O63" s="45"/>
      <c r="P63" s="45"/>
      <c r="Q63" s="45"/>
      <c r="R63" s="45"/>
      <c r="S63" s="224"/>
      <c r="T63" s="45"/>
      <c r="U63" s="45"/>
    </row>
    <row r="64" spans="2:27" ht="20.100000000000001" customHeight="1" x14ac:dyDescent="0.25">
      <c r="B64" s="279" t="str">
        <f>"Festkosten Stall"&amp;IF($J$7=""," (inkl. 19 % Mwst.)","")</f>
        <v>Festkosten Stall</v>
      </c>
      <c r="D64" s="333"/>
      <c r="E64" s="334" t="str">
        <f>"(entsprechen "&amp;100/$E$35+$E$36+$I$9/2&amp;" % der Inv.kosten)"</f>
        <v>(entsprechen 7,25 % der Inv.kosten)</v>
      </c>
      <c r="F64" s="304" t="s">
        <v>9</v>
      </c>
      <c r="G64" s="305">
        <f>($E$34*100/$I$25)*$K$64/100</f>
        <v>391.5</v>
      </c>
      <c r="H64" s="305">
        <f>($E$34*100/$I$25)*$K$64/100</f>
        <v>391.5</v>
      </c>
      <c r="I64" s="673">
        <f>($E$34*100/$I$25)*$K$64/100</f>
        <v>391.5</v>
      </c>
      <c r="J64" s="674">
        <f>($E$34*100/$I$25)*$K$64/100</f>
        <v>391.5</v>
      </c>
      <c r="K64" s="197">
        <f>100/$E$35+$E$36+$I$9/2</f>
        <v>7.25</v>
      </c>
      <c r="L64" s="198"/>
      <c r="M64"/>
      <c r="N64"/>
      <c r="O64"/>
      <c r="P64"/>
      <c r="Q64"/>
      <c r="R64"/>
      <c r="S64" s="112"/>
      <c r="T64"/>
      <c r="U64"/>
    </row>
    <row r="65" spans="2:25" ht="20.100000000000001" customHeight="1" x14ac:dyDescent="0.3">
      <c r="B65" s="279" t="s">
        <v>78</v>
      </c>
      <c r="C65" s="335"/>
      <c r="D65" s="335"/>
      <c r="E65" s="336"/>
      <c r="F65" s="304" t="s">
        <v>9</v>
      </c>
      <c r="G65" s="305">
        <f>($E$37*$E$38/10000)/$I$25*100</f>
        <v>10</v>
      </c>
      <c r="H65" s="305">
        <f>($E$37*$E$38/10000)/$I$25*100</f>
        <v>10</v>
      </c>
      <c r="I65" s="622">
        <f>($E$37*$E$38/10000)/$I$25*100</f>
        <v>10</v>
      </c>
      <c r="J65" s="623">
        <f>($E$37*$E$38/10000)/$I$25*100</f>
        <v>10</v>
      </c>
      <c r="K65" s="48"/>
      <c r="L65" s="11"/>
      <c r="M65"/>
      <c r="N65"/>
      <c r="O65"/>
      <c r="P65"/>
      <c r="Q65"/>
      <c r="R65"/>
      <c r="S65" s="112"/>
      <c r="T65"/>
      <c r="U65"/>
    </row>
    <row r="66" spans="2:25" ht="20.100000000000001" customHeight="1" x14ac:dyDescent="0.25">
      <c r="B66" s="279" t="str">
        <f>"Gemeinkosten"&amp;IF($J$7=""," (inkl. 19 % Mwst.)"," (ohne Mwst.)")</f>
        <v>Gemeinkosten (ohne Mwst.)</v>
      </c>
      <c r="C66" s="302"/>
      <c r="D66" s="302"/>
      <c r="E66" s="303"/>
      <c r="F66" s="304" t="s">
        <v>9</v>
      </c>
      <c r="G66" s="307">
        <f>H66</f>
        <v>42.016806722689076</v>
      </c>
      <c r="H66" s="307">
        <f>$I$36/$I$25</f>
        <v>42.016806722689076</v>
      </c>
      <c r="I66" s="620">
        <f>H66</f>
        <v>42.016806722689076</v>
      </c>
      <c r="J66" s="621"/>
      <c r="K66" s="11"/>
      <c r="L66" s="11"/>
      <c r="M66"/>
      <c r="N66"/>
      <c r="O66"/>
      <c r="P66"/>
      <c r="Q66"/>
      <c r="R66"/>
      <c r="S66" s="112"/>
      <c r="T66"/>
      <c r="U66"/>
    </row>
    <row r="67" spans="2:25" ht="20.100000000000001" customHeight="1" x14ac:dyDescent="0.25">
      <c r="B67" s="308" t="str">
        <f>"Summe Fest- und Gemeinkosten"&amp;IF($J$7=""," (brutto)"," (netto) ")</f>
        <v xml:space="preserve">Summe Fest- und Gemeinkosten (netto) </v>
      </c>
      <c r="C67" s="309"/>
      <c r="D67" s="309"/>
      <c r="E67" s="310" t="s">
        <v>134</v>
      </c>
      <c r="F67" s="311" t="s">
        <v>9</v>
      </c>
      <c r="G67" s="312">
        <f>SUM(G64:G66)</f>
        <v>443.51680672268907</v>
      </c>
      <c r="H67" s="312">
        <f>SUM(H64:H66)</f>
        <v>443.51680672268907</v>
      </c>
      <c r="I67" s="599">
        <f>SUM(I64:I66)</f>
        <v>443.51680672268907</v>
      </c>
      <c r="J67" s="600"/>
      <c r="K67" s="11"/>
      <c r="L67" s="11"/>
      <c r="M67"/>
      <c r="N67"/>
      <c r="O67"/>
      <c r="P67"/>
      <c r="Q67"/>
      <c r="R67"/>
      <c r="S67" s="112"/>
      <c r="T67"/>
      <c r="U67"/>
    </row>
    <row r="68" spans="2:25" s="37" customFormat="1" ht="20.100000000000001" customHeight="1" x14ac:dyDescent="0.3">
      <c r="B68" s="324" t="s">
        <v>17</v>
      </c>
      <c r="C68" s="325"/>
      <c r="D68" s="325"/>
      <c r="E68" s="337" t="s">
        <v>134</v>
      </c>
      <c r="F68" s="326" t="s">
        <v>9</v>
      </c>
      <c r="G68" s="327">
        <f>G61-G67</f>
        <v>637.13057738397856</v>
      </c>
      <c r="H68" s="327">
        <f>H61-H67</f>
        <v>937.47911418397916</v>
      </c>
      <c r="I68" s="616">
        <f t="shared" ref="I68:J68" si="8">I61-I67</f>
        <v>1237.8276509839789</v>
      </c>
      <c r="J68" s="617">
        <f t="shared" si="8"/>
        <v>0</v>
      </c>
      <c r="K68" s="48"/>
      <c r="L68" s="48"/>
      <c r="M68" s="34"/>
      <c r="N68" s="34"/>
      <c r="O68" s="34"/>
      <c r="P68" s="34"/>
      <c r="Q68" s="34"/>
      <c r="R68" s="34"/>
      <c r="S68" s="226"/>
      <c r="T68" s="34"/>
      <c r="U68" s="34"/>
    </row>
    <row r="69" spans="2:25" s="37" customFormat="1" ht="20.100000000000001" customHeight="1" x14ac:dyDescent="0.3">
      <c r="B69" s="324"/>
      <c r="C69" s="325"/>
      <c r="D69" s="325"/>
      <c r="E69" s="337" t="s">
        <v>135</v>
      </c>
      <c r="F69" s="326" t="s">
        <v>9</v>
      </c>
      <c r="G69" s="327">
        <f>G68*$I$25</f>
        <v>637.13057738397856</v>
      </c>
      <c r="H69" s="327">
        <f>H68*$I$25</f>
        <v>937.47911418397916</v>
      </c>
      <c r="I69" s="626">
        <f>I68*$I$25</f>
        <v>1237.8276509839789</v>
      </c>
      <c r="J69" s="627"/>
      <c r="K69" s="48"/>
      <c r="L69" s="48"/>
      <c r="M69" s="34"/>
      <c r="N69" s="34"/>
      <c r="O69" s="34"/>
      <c r="P69" s="34"/>
      <c r="Q69" s="34"/>
      <c r="R69" s="34"/>
      <c r="S69" s="226"/>
      <c r="T69" s="34"/>
      <c r="U69" s="34"/>
    </row>
    <row r="70" spans="2:25" ht="20.100000000000001" customHeight="1" x14ac:dyDescent="0.25">
      <c r="B70" s="338"/>
      <c r="C70" s="339"/>
      <c r="D70" s="339"/>
      <c r="E70" s="340" t="s">
        <v>136</v>
      </c>
      <c r="F70" s="341" t="s">
        <v>9</v>
      </c>
      <c r="G70" s="342">
        <f>G69/G71</f>
        <v>15.984760572748771</v>
      </c>
      <c r="H70" s="342">
        <f>H69/H71</f>
        <v>23.330512947183831</v>
      </c>
      <c r="I70" s="675">
        <f t="shared" ref="I70:J70" si="9">I69/I71</f>
        <v>30.558785221625751</v>
      </c>
      <c r="J70" s="676">
        <f t="shared" si="9"/>
        <v>0</v>
      </c>
      <c r="K70" s="11"/>
      <c r="L70" s="1"/>
      <c r="M70"/>
      <c r="N70"/>
      <c r="O70"/>
      <c r="P70"/>
      <c r="Q70"/>
      <c r="R70"/>
      <c r="S70" s="547" t="s">
        <v>103</v>
      </c>
      <c r="T70"/>
      <c r="U70"/>
    </row>
    <row r="71" spans="2:25" ht="20.100000000000001" customHeight="1" x14ac:dyDescent="0.25">
      <c r="B71" s="279" t="s">
        <v>226</v>
      </c>
      <c r="C71" s="335"/>
      <c r="D71" s="335"/>
      <c r="E71" s="336"/>
      <c r="F71" s="304" t="s">
        <v>124</v>
      </c>
      <c r="G71" s="305">
        <f>$I$37+((G45*100)/1000*$I$38)*$I$25</f>
        <v>39.858625000000004</v>
      </c>
      <c r="H71" s="305">
        <f>$I$37+((H45*100)/1000*$I$38)*$I$25</f>
        <v>40.182533333333332</v>
      </c>
      <c r="I71" s="673">
        <f t="shared" ref="I71:J71" si="10">$I$37+((I45*100)/1000*$I$38)*$I$25</f>
        <v>40.506441666666667</v>
      </c>
      <c r="J71" s="674">
        <f t="shared" si="10"/>
        <v>35</v>
      </c>
      <c r="K71" s="11"/>
      <c r="L71" s="1"/>
      <c r="M71"/>
      <c r="N71"/>
      <c r="O71"/>
      <c r="P71"/>
      <c r="Q71"/>
      <c r="R71"/>
      <c r="S71" s="547" t="s">
        <v>198</v>
      </c>
      <c r="T71"/>
      <c r="U71"/>
    </row>
    <row r="72" spans="2:25" s="47" customFormat="1" ht="20.100000000000001" customHeight="1" x14ac:dyDescent="0.25">
      <c r="B72" s="279" t="s">
        <v>194</v>
      </c>
      <c r="C72" s="302"/>
      <c r="D72" s="302"/>
      <c r="E72" s="343">
        <f>I11</f>
        <v>16</v>
      </c>
      <c r="F72" s="304" t="s">
        <v>9</v>
      </c>
      <c r="G72" s="305">
        <f>G71*$I$11</f>
        <v>637.73800000000006</v>
      </c>
      <c r="H72" s="305">
        <f>H71*$I$11</f>
        <v>642.92053333333331</v>
      </c>
      <c r="I72" s="622">
        <f>I71*$I$11</f>
        <v>648.10306666666668</v>
      </c>
      <c r="J72" s="623">
        <f>J71*$I$11</f>
        <v>560</v>
      </c>
      <c r="K72" s="15"/>
      <c r="M72" s="38"/>
      <c r="N72" s="38"/>
      <c r="O72" s="38"/>
      <c r="P72" s="38"/>
      <c r="Q72" s="38"/>
      <c r="R72" s="38"/>
      <c r="S72" s="227"/>
      <c r="T72" s="38"/>
      <c r="U72" s="38"/>
    </row>
    <row r="73" spans="2:25" s="37" customFormat="1" ht="20.100000000000001" customHeight="1" x14ac:dyDescent="0.3">
      <c r="B73" s="344" t="s">
        <v>227</v>
      </c>
      <c r="C73" s="345"/>
      <c r="D73" s="345"/>
      <c r="E73" s="346"/>
      <c r="F73" s="347" t="s">
        <v>9</v>
      </c>
      <c r="G73" s="348">
        <f>(G69-G72)</f>
        <v>-0.60742261602149483</v>
      </c>
      <c r="H73" s="348">
        <f>(H69-H72)</f>
        <v>294.55858085064585</v>
      </c>
      <c r="I73" s="616">
        <f>(I69-I72)</f>
        <v>589.72458431731218</v>
      </c>
      <c r="J73" s="617">
        <f>(J69-J72)</f>
        <v>-560</v>
      </c>
      <c r="K73" s="48"/>
      <c r="M73" s="34"/>
      <c r="N73" s="34"/>
      <c r="O73" s="34"/>
      <c r="P73" s="34"/>
      <c r="Q73" s="34"/>
      <c r="R73" s="34"/>
      <c r="S73" s="548" t="s">
        <v>289</v>
      </c>
      <c r="T73" s="34"/>
      <c r="U73" s="34"/>
    </row>
    <row r="74" spans="2:25" s="37" customFormat="1" ht="20.100000000000001" customHeight="1" x14ac:dyDescent="0.3">
      <c r="B74" s="349" t="s">
        <v>10</v>
      </c>
      <c r="C74" s="350"/>
      <c r="D74" s="350"/>
      <c r="E74" s="351"/>
      <c r="F74" s="341" t="s">
        <v>1</v>
      </c>
      <c r="G74" s="368">
        <f>((G62-(G66+G65)*$I$25-G72)-$E$34*100/$E$35-$E$34*100*$E$36%)/($E$34*100)*2</f>
        <v>2.4775028660732779E-2</v>
      </c>
      <c r="H74" s="368">
        <f>((H62-(H66+H65)*$I$25-H72)-$E$34*100/$E$35-$E$34*100*$E$36%)/($E$34*100)*2</f>
        <v>0.13409577068542439</v>
      </c>
      <c r="I74" s="614">
        <f t="shared" ref="I74:J74" si="11">((I62-(I66+I65)*$I$25-I72)-$E$34*100/$E$35-$E$34*100*$E$36%)/($E$34*100)*2</f>
        <v>0.24341651271011563</v>
      </c>
      <c r="J74" s="615">
        <f t="shared" si="11"/>
        <v>-0.33111111111111113</v>
      </c>
      <c r="K74" s="48"/>
      <c r="M74" s="34"/>
      <c r="N74" s="34"/>
      <c r="O74" s="34"/>
      <c r="P74" s="34"/>
      <c r="Q74" s="34"/>
      <c r="R74" s="34"/>
      <c r="S74" s="547" t="s">
        <v>104</v>
      </c>
      <c r="T74" s="34"/>
      <c r="U74" s="34"/>
    </row>
    <row r="75" spans="2:25" ht="20.100000000000001" customHeight="1" x14ac:dyDescent="0.25">
      <c r="B75" s="663" t="s">
        <v>277</v>
      </c>
      <c r="C75" s="664"/>
      <c r="D75" s="352"/>
      <c r="E75" s="353" t="str">
        <f>IF(J6&lt;&gt;0,"brutto","")</f>
        <v/>
      </c>
      <c r="F75" s="354" t="s">
        <v>9</v>
      </c>
      <c r="G75" s="355" t="str">
        <f>IF($J$6=0,"",(G59+G64+G65+G66+G72-G50-G51)/100/G45)</f>
        <v/>
      </c>
      <c r="H75" s="355" t="str">
        <f>IF($J$6=0,"",(H59+H64+H65+H66+H72-H50-H51)/100/H45)</f>
        <v/>
      </c>
      <c r="I75" s="612" t="str">
        <f>IF($J$6=0,"",(I59+I64+I65+I66+I72-I50-I51)/100/I45)</f>
        <v/>
      </c>
      <c r="J75" s="613" t="str">
        <f>IF($J$6=0,"",(J59+J64+J65+J66+J72-J50-J51)/100/J45)</f>
        <v/>
      </c>
      <c r="K75" s="11"/>
      <c r="L75" s="1"/>
      <c r="M75"/>
      <c r="N75"/>
      <c r="O75"/>
      <c r="P75"/>
      <c r="Q75"/>
      <c r="R75"/>
      <c r="S75" s="547"/>
      <c r="T75"/>
      <c r="U75"/>
    </row>
    <row r="76" spans="2:25" ht="20.100000000000001" customHeight="1" x14ac:dyDescent="0.25">
      <c r="B76" s="665"/>
      <c r="C76" s="666"/>
      <c r="D76" s="356"/>
      <c r="E76" s="357" t="s">
        <v>18</v>
      </c>
      <c r="F76" s="358" t="s">
        <v>9</v>
      </c>
      <c r="G76" s="359">
        <f>IF($J$7="",G75/(1+$E$9),(G59+G64+G65+G66+G72-G49-G50-G51)/100/G46)</f>
        <v>0.20052713095661875</v>
      </c>
      <c r="H76" s="359">
        <f>IF($J$7="",H75/(1+$E$9),(H59+H64+H65+H66+H72-H49-H50-H51)/100/H46)</f>
        <v>0.18816562624405228</v>
      </c>
      <c r="I76" s="667">
        <f>IF($J$7="",I75/(1+$E$9),(I59+I64+I65+I66+I72-I49-I50-I51)/100/I46)</f>
        <v>0.17725841620355251</v>
      </c>
      <c r="J76" s="668" t="e">
        <f>IF($J$7="",J75/(1+$E$9),(J59+J64+J65+J66+J72-J49-J50-J51)/100/J46)</f>
        <v>#DIV/0!</v>
      </c>
      <c r="K76" s="11"/>
      <c r="L76" s="1"/>
      <c r="M76"/>
      <c r="N76"/>
      <c r="O76"/>
      <c r="P76"/>
      <c r="Q76"/>
      <c r="R76"/>
      <c r="S76" s="547"/>
      <c r="T76"/>
      <c r="U76"/>
    </row>
    <row r="77" spans="2:25" ht="20.100000000000001" customHeight="1" x14ac:dyDescent="0.25">
      <c r="B77" s="603" t="s">
        <v>212</v>
      </c>
      <c r="C77" s="370" t="s">
        <v>161</v>
      </c>
      <c r="D77" s="360"/>
      <c r="E77" s="360"/>
      <c r="F77" s="361" t="s">
        <v>276</v>
      </c>
      <c r="G77" s="362">
        <f>((G59+(G64+G65+G66)+G72/$I$25-G49-G51-G50)/100)/G46/$K$9*100</f>
        <v>20.052713095661879</v>
      </c>
      <c r="H77" s="362">
        <f>((H59+(H64+H65+H66)+H72/$I$25-H49-H51-H50)/100)/H46/$K$9*100</f>
        <v>18.816562624405229</v>
      </c>
      <c r="I77" s="605">
        <f>((I59+(I64+I65+I66)+I72/$I$25-I49-I51-I50)/100)/I46/$K$9*100</f>
        <v>17.725841620355251</v>
      </c>
      <c r="J77" s="606" t="e">
        <f t="shared" ref="J77" si="12">((J59+(J64+J65+J66)+J72/$I$25-J49-J51-J50)/100)/J46/$K$9</f>
        <v>#DIV/0!</v>
      </c>
      <c r="L77" s="1"/>
      <c r="M77"/>
      <c r="N77"/>
      <c r="O77"/>
      <c r="P77"/>
      <c r="Q77"/>
      <c r="R77"/>
      <c r="S77" s="547" t="s">
        <v>199</v>
      </c>
      <c r="T77"/>
      <c r="U77"/>
    </row>
    <row r="78" spans="2:25" ht="20.100000000000001" customHeight="1" thickBot="1" x14ac:dyDescent="0.3">
      <c r="B78" s="604"/>
      <c r="C78" s="371" t="s">
        <v>162</v>
      </c>
      <c r="D78" s="363"/>
      <c r="E78" s="363"/>
      <c r="F78" s="364" t="s">
        <v>276</v>
      </c>
      <c r="G78" s="365">
        <f>((G59-G49-G50-G51)/100/G46)/$K$9*100</f>
        <v>15.223212764051706</v>
      </c>
      <c r="H78" s="365">
        <f>((H59-H49-H50-H51)/100/H46)/$K$9*100</f>
        <v>14.26720467463181</v>
      </c>
      <c r="I78" s="366">
        <f>((I59-I49-I50-I51)/100/I46)/$K$9*100</f>
        <v>13.423668125143665</v>
      </c>
      <c r="J78" s="367"/>
      <c r="L78" s="1"/>
      <c r="M78"/>
      <c r="N78"/>
      <c r="O78"/>
      <c r="P78"/>
      <c r="Q78"/>
      <c r="R78"/>
      <c r="S78" s="547" t="s">
        <v>200</v>
      </c>
      <c r="T78"/>
      <c r="U78"/>
    </row>
    <row r="79" spans="2:25" ht="26.4" customHeight="1" x14ac:dyDescent="0.4">
      <c r="B79" s="27"/>
      <c r="C79" s="27"/>
      <c r="E79" s="27"/>
      <c r="F79" s="28"/>
      <c r="G79" s="29"/>
      <c r="H79" s="29"/>
      <c r="I79" s="30"/>
      <c r="J79" s="31"/>
      <c r="K79" s="11"/>
      <c r="L79" s="11"/>
      <c r="M79"/>
      <c r="N79"/>
      <c r="O79"/>
      <c r="P79"/>
      <c r="Q79"/>
      <c r="R79"/>
      <c r="S79" s="112"/>
      <c r="T79"/>
      <c r="U79"/>
    </row>
    <row r="80" spans="2:25" ht="11.25" customHeight="1" x14ac:dyDescent="0.4">
      <c r="B80" s="32"/>
      <c r="C80" s="32"/>
      <c r="D80" s="27"/>
      <c r="E80" s="32"/>
      <c r="F80" s="32"/>
      <c r="G80" s="32"/>
      <c r="H80" s="32"/>
      <c r="I80" s="32"/>
      <c r="J80" s="32"/>
      <c r="K80" s="19"/>
      <c r="R80" s="6"/>
      <c r="S80" s="112"/>
      <c r="T80" s="6"/>
      <c r="U80" s="4"/>
      <c r="V80" s="4"/>
      <c r="W80" s="4"/>
      <c r="X80" s="4"/>
      <c r="Y80" s="4"/>
    </row>
    <row r="81" spans="2:25" ht="8.4" customHeight="1" x14ac:dyDescent="0.25">
      <c r="B81" s="33"/>
      <c r="C81" s="33"/>
      <c r="D81" s="32"/>
      <c r="E81" s="50"/>
      <c r="F81" s="33"/>
      <c r="G81" s="51"/>
      <c r="H81" s="33"/>
      <c r="I81" s="52"/>
      <c r="J81" s="33"/>
      <c r="K81" s="19"/>
      <c r="L81" s="19"/>
      <c r="M81" s="5"/>
      <c r="N81" s="5"/>
      <c r="O81" s="5"/>
      <c r="P81" s="56"/>
      <c r="Q81" s="5"/>
      <c r="R81" s="6"/>
      <c r="S81" s="112"/>
      <c r="T81" s="6"/>
      <c r="U81" s="4"/>
      <c r="V81" s="4"/>
      <c r="W81" s="4"/>
      <c r="X81" s="4"/>
      <c r="Y81" s="4"/>
    </row>
    <row r="82" spans="2:25" s="172" customFormat="1" x14ac:dyDescent="0.25">
      <c r="B82" s="173"/>
      <c r="C82" s="171"/>
      <c r="D82" s="33"/>
      <c r="E82" s="171"/>
      <c r="F82" s="171"/>
      <c r="G82" s="171"/>
      <c r="H82" s="171"/>
      <c r="I82" s="171"/>
      <c r="J82" s="171"/>
      <c r="K82" s="72"/>
      <c r="L82" s="72"/>
    </row>
    <row r="83" spans="2:25" ht="26.4" customHeight="1" x14ac:dyDescent="0.25">
      <c r="D83" s="171"/>
      <c r="G83" s="73"/>
      <c r="H83" s="73"/>
      <c r="I83" s="73"/>
    </row>
    <row r="84" spans="2:25" ht="15.6" x14ac:dyDescent="0.25">
      <c r="G84" s="55"/>
      <c r="H84" s="55"/>
      <c r="I84" s="55"/>
    </row>
    <row r="85" spans="2:25" x14ac:dyDescent="0.25">
      <c r="B85" s="72"/>
      <c r="G85" s="54"/>
      <c r="H85" s="54"/>
      <c r="I85" s="54"/>
    </row>
    <row r="86" spans="2:25" x14ac:dyDescent="0.25">
      <c r="G86" s="54"/>
      <c r="H86" s="54"/>
      <c r="I86" s="54"/>
    </row>
    <row r="87" spans="2:25" x14ac:dyDescent="0.25">
      <c r="G87" s="54"/>
      <c r="H87" s="54"/>
      <c r="I87" s="54"/>
    </row>
    <row r="88" spans="2:25" x14ac:dyDescent="0.25">
      <c r="B88"/>
      <c r="C88"/>
      <c r="D88"/>
      <c r="E88"/>
    </row>
    <row r="89" spans="2:25" x14ac:dyDescent="0.25">
      <c r="B89"/>
      <c r="C89"/>
      <c r="D89"/>
      <c r="E89"/>
      <c r="F89" s="68"/>
      <c r="G89" s="69"/>
      <c r="H89" s="69"/>
      <c r="I89" s="69"/>
    </row>
    <row r="90" spans="2:25" x14ac:dyDescent="0.25">
      <c r="B90"/>
      <c r="C90"/>
      <c r="D90"/>
      <c r="E90"/>
      <c r="F90" s="68"/>
      <c r="G90" s="69"/>
      <c r="H90" s="69"/>
      <c r="I90" s="69"/>
    </row>
    <row r="91" spans="2:25" x14ac:dyDescent="0.25">
      <c r="B91"/>
      <c r="C91"/>
      <c r="D91"/>
      <c r="E91"/>
      <c r="F91" s="68"/>
      <c r="G91" s="69"/>
      <c r="H91" s="69"/>
      <c r="I91" s="69"/>
    </row>
    <row r="92" spans="2:25" x14ac:dyDescent="0.25">
      <c r="B92"/>
      <c r="C92"/>
      <c r="D92"/>
      <c r="E92"/>
    </row>
    <row r="93" spans="2:25" x14ac:dyDescent="0.25">
      <c r="G93" s="54"/>
      <c r="H93" s="54"/>
      <c r="I93" s="54"/>
    </row>
    <row r="94" spans="2:25" x14ac:dyDescent="0.25">
      <c r="G94" s="54"/>
      <c r="H94" s="54"/>
      <c r="I94" s="54"/>
    </row>
    <row r="95" spans="2:25" x14ac:dyDescent="0.25">
      <c r="G95" s="54"/>
      <c r="H95" s="54"/>
      <c r="I95" s="54"/>
    </row>
    <row r="96" spans="2:25" x14ac:dyDescent="0.25">
      <c r="G96" s="70"/>
      <c r="H96" s="70"/>
      <c r="I96" s="70"/>
    </row>
    <row r="97" spans="2:10" x14ac:dyDescent="0.25">
      <c r="G97" s="71"/>
      <c r="H97" s="71"/>
      <c r="I97" s="71"/>
    </row>
    <row r="98" spans="2:10" x14ac:dyDescent="0.25">
      <c r="G98" s="71"/>
      <c r="H98" s="71"/>
      <c r="I98" s="71"/>
    </row>
    <row r="99" spans="2:10" ht="15" x14ac:dyDescent="0.25">
      <c r="B99" s="13"/>
      <c r="C99" s="13"/>
      <c r="E99" s="13"/>
      <c r="F99" s="13"/>
      <c r="G99" s="53"/>
      <c r="H99" s="53"/>
      <c r="I99" s="53"/>
      <c r="J99" s="13"/>
    </row>
    <row r="100" spans="2:10" ht="15" x14ac:dyDescent="0.25">
      <c r="D100" s="13"/>
    </row>
  </sheetData>
  <sheetProtection sheet="1" objects="1" scenarios="1"/>
  <mergeCells count="57">
    <mergeCell ref="AE20:AH22"/>
    <mergeCell ref="I55:J55"/>
    <mergeCell ref="I53:J53"/>
    <mergeCell ref="I4:J4"/>
    <mergeCell ref="B2:H2"/>
    <mergeCell ref="I2:J2"/>
    <mergeCell ref="I54:J54"/>
    <mergeCell ref="I13:J13"/>
    <mergeCell ref="I51:J51"/>
    <mergeCell ref="I45:J45"/>
    <mergeCell ref="I47:J47"/>
    <mergeCell ref="I50:J50"/>
    <mergeCell ref="I48:J48"/>
    <mergeCell ref="C4:D4"/>
    <mergeCell ref="I42:J42"/>
    <mergeCell ref="I46:J46"/>
    <mergeCell ref="I14:J14"/>
    <mergeCell ref="R2:T2"/>
    <mergeCell ref="B13:H13"/>
    <mergeCell ref="B75:C76"/>
    <mergeCell ref="I76:J76"/>
    <mergeCell ref="I60:J60"/>
    <mergeCell ref="I66:J66"/>
    <mergeCell ref="I63:J63"/>
    <mergeCell ref="I64:J64"/>
    <mergeCell ref="I65:J65"/>
    <mergeCell ref="I67:J67"/>
    <mergeCell ref="I68:J68"/>
    <mergeCell ref="I70:J70"/>
    <mergeCell ref="I71:J71"/>
    <mergeCell ref="I72:J72"/>
    <mergeCell ref="I61:J61"/>
    <mergeCell ref="I43:J43"/>
    <mergeCell ref="S18:AD19"/>
    <mergeCell ref="R20:R22"/>
    <mergeCell ref="Y20:AD22"/>
    <mergeCell ref="I15:J15"/>
    <mergeCell ref="I16:J16"/>
    <mergeCell ref="B18:J18"/>
    <mergeCell ref="C19:D19"/>
    <mergeCell ref="E19:F19"/>
    <mergeCell ref="I52:J52"/>
    <mergeCell ref="G37:H37"/>
    <mergeCell ref="B77:B78"/>
    <mergeCell ref="I77:J77"/>
    <mergeCell ref="G41:J41"/>
    <mergeCell ref="I44:J44"/>
    <mergeCell ref="I75:J75"/>
    <mergeCell ref="I74:J74"/>
    <mergeCell ref="I73:J73"/>
    <mergeCell ref="I59:J59"/>
    <mergeCell ref="I58:J58"/>
    <mergeCell ref="I49:J49"/>
    <mergeCell ref="I62:J62"/>
    <mergeCell ref="I69:J69"/>
    <mergeCell ref="I56:J56"/>
    <mergeCell ref="I57:J57"/>
  </mergeCells>
  <phoneticPr fontId="0" type="noConversion"/>
  <printOptions horizontalCentered="1" gridLinesSet="0"/>
  <pageMargins left="0.25" right="0.25" top="0.75" bottom="0.75" header="0.3" footer="0.3"/>
  <pageSetup paperSize="9" scale="53" orientation="portrait" verticalDpi="300" r:id="rId1"/>
  <headerFooter alignWithMargins="0">
    <oddFooter>&amp;LLEL, Abt.2,J. Miez, K.Schabel, V. Segger&amp;C&amp;F&amp;R&amp;D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
  <sheetViews>
    <sheetView workbookViewId="0"/>
  </sheetViews>
  <sheetFormatPr baseColWidth="10" defaultRowHeight="13.2" x14ac:dyDescent="0.25"/>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CCFFCC"/>
    <pageSetUpPr fitToPage="1"/>
  </sheetPr>
  <dimension ref="B3:K24"/>
  <sheetViews>
    <sheetView view="pageBreakPreview" zoomScale="60" zoomScaleNormal="100" workbookViewId="0">
      <selection activeCell="I32" sqref="I32"/>
    </sheetView>
  </sheetViews>
  <sheetFormatPr baseColWidth="10" defaultRowHeight="13.2" x14ac:dyDescent="0.25"/>
  <cols>
    <col min="1" max="1" width="2" customWidth="1"/>
    <col min="2" max="2" width="2.88671875" customWidth="1"/>
    <col min="3" max="3" width="25.6640625" customWidth="1"/>
    <col min="4" max="6" width="13.6640625" customWidth="1"/>
    <col min="7" max="7" width="4.6640625" customWidth="1"/>
    <col min="8" max="10" width="13.6640625" customWidth="1"/>
    <col min="11" max="11" width="15.77734375" customWidth="1"/>
  </cols>
  <sheetData>
    <row r="3" spans="2:11" ht="13.8" thickBot="1" x14ac:dyDescent="0.3"/>
    <row r="4" spans="2:11" ht="17.399999999999999" x14ac:dyDescent="0.3">
      <c r="C4" s="523" t="s">
        <v>248</v>
      </c>
      <c r="D4" s="524" t="str">
        <f>CONCATENATE("bezogen auf ",'6.000'!$B$18)</f>
        <v>bezogen auf 100 eingestallte Legehennen und 12 monatige Legeperiode</v>
      </c>
      <c r="E4" s="525"/>
      <c r="F4" s="526"/>
      <c r="G4" s="526"/>
      <c r="H4" s="526"/>
      <c r="I4" s="526"/>
      <c r="J4" s="527"/>
      <c r="K4" s="41"/>
    </row>
    <row r="5" spans="2:11" ht="16.2" thickBot="1" x14ac:dyDescent="0.35">
      <c r="C5" s="528" t="str">
        <f>Info!H3</f>
        <v>Vers.01/2018
 (Stand: 07/2018)</v>
      </c>
      <c r="D5" s="529" t="str">
        <f>IF('6.000'!$J$7=0,'6.000'!$I$6&amp;", ",'6.000'!$I$7&amp;", ")</f>
        <v xml:space="preserve">Regelbesteuerung , </v>
      </c>
      <c r="E5" s="530"/>
      <c r="F5" s="531" t="str">
        <f>IF('6.000'!$F$7="","Investitionsförderung "&amp;'6.000'!I10&amp;" %","ohne Investitionsförderung")</f>
        <v>Investitionsförderung 40 %</v>
      </c>
      <c r="G5" s="530"/>
      <c r="H5" s="532"/>
      <c r="I5" s="530"/>
      <c r="J5" s="533"/>
    </row>
    <row r="6" spans="2:11" ht="13.8" thickBot="1" x14ac:dyDescent="0.3"/>
    <row r="7" spans="2:11" ht="15.6" x14ac:dyDescent="0.3">
      <c r="C7" s="456" t="s">
        <v>243</v>
      </c>
      <c r="D7" s="457" t="s">
        <v>157</v>
      </c>
      <c r="E7" s="457" t="s">
        <v>250</v>
      </c>
      <c r="F7" s="458" t="s">
        <v>251</v>
      </c>
      <c r="G7" s="459"/>
      <c r="H7" s="459"/>
      <c r="I7" s="456" t="s">
        <v>249</v>
      </c>
      <c r="J7" s="460"/>
    </row>
    <row r="8" spans="2:11" ht="15" x14ac:dyDescent="0.25">
      <c r="C8" s="461" t="s">
        <v>164</v>
      </c>
      <c r="D8" s="462">
        <f>'6.000'!$C$20</f>
        <v>0.95</v>
      </c>
      <c r="E8" s="462">
        <f>'6.000'!$C$21</f>
        <v>0</v>
      </c>
      <c r="F8" s="463">
        <f>'6.000'!$C$22</f>
        <v>0.05</v>
      </c>
      <c r="G8" s="464"/>
      <c r="H8" s="464"/>
      <c r="I8" s="465">
        <f>'6.000'!$E$23</f>
        <v>20.05</v>
      </c>
      <c r="J8" s="466"/>
    </row>
    <row r="9" spans="2:11" ht="15.6" thickBot="1" x14ac:dyDescent="0.3">
      <c r="C9" s="467" t="s">
        <v>231</v>
      </c>
      <c r="D9" s="468">
        <f>'6.000'!$E$20</f>
        <v>19</v>
      </c>
      <c r="E9" s="468">
        <f>'6.000'!$E$21</f>
        <v>28</v>
      </c>
      <c r="F9" s="469">
        <f>'6.000'!$E$22</f>
        <v>40</v>
      </c>
      <c r="G9" s="470"/>
      <c r="H9" s="470"/>
      <c r="I9" s="471"/>
      <c r="J9" s="472"/>
    </row>
    <row r="11" spans="2:11" ht="13.8" thickBot="1" x14ac:dyDescent="0.3"/>
    <row r="12" spans="2:11" ht="18.3" customHeight="1" x14ac:dyDescent="0.4">
      <c r="B12" s="447"/>
      <c r="C12" s="504" t="s">
        <v>230</v>
      </c>
      <c r="D12" s="505"/>
      <c r="E12" s="505"/>
      <c r="F12" s="505"/>
      <c r="G12" s="506" t="s">
        <v>229</v>
      </c>
      <c r="H12" s="507">
        <f>'6.000'!G42</f>
        <v>0.75</v>
      </c>
      <c r="I12" s="508">
        <f>'6.000'!H42</f>
        <v>0.8</v>
      </c>
      <c r="J12" s="509">
        <f>'6.000'!I42</f>
        <v>0.85</v>
      </c>
    </row>
    <row r="13" spans="2:11" ht="15" x14ac:dyDescent="0.25">
      <c r="B13" s="701"/>
      <c r="C13" s="473" t="s">
        <v>234</v>
      </c>
      <c r="D13" s="474"/>
      <c r="E13" s="474"/>
      <c r="F13" s="474"/>
      <c r="G13" s="475" t="s">
        <v>9</v>
      </c>
      <c r="H13" s="476">
        <f>'6.000'!G52*'6.000'!$I$25</f>
        <v>4844.5983623679995</v>
      </c>
      <c r="I13" s="477">
        <f>'6.000'!H52*'6.000'!$I$25</f>
        <v>5148.833799168</v>
      </c>
      <c r="J13" s="478">
        <f>'6.000'!I52*'6.000'!$I$25</f>
        <v>5453.0692359679997</v>
      </c>
    </row>
    <row r="14" spans="2:11" ht="15.6" x14ac:dyDescent="0.3">
      <c r="B14" s="701"/>
      <c r="C14" s="497" t="s">
        <v>241</v>
      </c>
      <c r="D14" s="498"/>
      <c r="E14" s="498"/>
      <c r="F14" s="498"/>
      <c r="G14" s="499" t="s">
        <v>9</v>
      </c>
      <c r="H14" s="500">
        <f>('6.000'!G48+'6.000'!G49)*'6.000'!$I$25</f>
        <v>4563.5315519999995</v>
      </c>
      <c r="I14" s="501">
        <f>('6.000'!H48+'6.000'!H49)*'6.000'!$I$25</f>
        <v>4867.7669888</v>
      </c>
      <c r="J14" s="502">
        <f>('6.000'!I48+'6.000'!I49)*'6.000'!$I$25</f>
        <v>5172.0024255999997</v>
      </c>
    </row>
    <row r="15" spans="2:11" ht="15" x14ac:dyDescent="0.25">
      <c r="B15" s="141"/>
      <c r="C15" s="479" t="s">
        <v>235</v>
      </c>
      <c r="D15" s="480"/>
      <c r="E15" s="480"/>
      <c r="F15" s="480"/>
      <c r="G15" s="475" t="s">
        <v>9</v>
      </c>
      <c r="H15" s="481">
        <f>'6.000'!G59*'6.000'!$I$25</f>
        <v>3763.9509782613318</v>
      </c>
      <c r="I15" s="482">
        <f>'6.000'!H59*'6.000'!$I$25</f>
        <v>3767.8378782613318</v>
      </c>
      <c r="J15" s="483">
        <f>'6.000'!I59*'6.000'!$I$25</f>
        <v>3771.7247782613317</v>
      </c>
    </row>
    <row r="16" spans="2:11" ht="15.6" x14ac:dyDescent="0.3">
      <c r="C16" s="497" t="s">
        <v>242</v>
      </c>
      <c r="D16" s="498"/>
      <c r="E16" s="498"/>
      <c r="F16" s="498"/>
      <c r="G16" s="503" t="s">
        <v>9</v>
      </c>
      <c r="H16" s="500">
        <f>'6.000'!G55*'6.000'!$I$25</f>
        <v>2472.4086000000002</v>
      </c>
      <c r="I16" s="501">
        <f>'6.000'!H55*'6.000'!$I$25</f>
        <v>2472.4086000000002</v>
      </c>
      <c r="J16" s="502">
        <f>'6.000'!I55*'6.000'!$I$25</f>
        <v>2472.4086000000002</v>
      </c>
    </row>
    <row r="17" spans="2:10" ht="17.399999999999999" x14ac:dyDescent="0.3">
      <c r="C17" s="510" t="s">
        <v>133</v>
      </c>
      <c r="D17" s="511"/>
      <c r="E17" s="512"/>
      <c r="F17" s="511" t="s">
        <v>245</v>
      </c>
      <c r="G17" s="513" t="s">
        <v>9</v>
      </c>
      <c r="H17" s="514">
        <f>'6.000'!G62</f>
        <v>1080.6473841066677</v>
      </c>
      <c r="I17" s="515">
        <f>'6.000'!H62</f>
        <v>1380.9959209066683</v>
      </c>
      <c r="J17" s="516">
        <f>'6.000'!I62</f>
        <v>1681.344457706668</v>
      </c>
    </row>
    <row r="18" spans="2:10" ht="15.6" x14ac:dyDescent="0.25">
      <c r="B18" s="141"/>
      <c r="C18" s="473" t="s">
        <v>236</v>
      </c>
      <c r="D18" s="474"/>
      <c r="E18" s="484"/>
      <c r="F18" s="485"/>
      <c r="G18" s="475" t="s">
        <v>9</v>
      </c>
      <c r="H18" s="476">
        <f>'6.000'!G67*'6.000'!$I$25</f>
        <v>443.51680672268907</v>
      </c>
      <c r="I18" s="477">
        <f>'6.000'!H67*'6.000'!$I$25</f>
        <v>443.51680672268907</v>
      </c>
      <c r="J18" s="478">
        <f>'6.000'!I67*'6.000'!$I$25</f>
        <v>443.51680672268907</v>
      </c>
    </row>
    <row r="19" spans="2:10" ht="15" x14ac:dyDescent="0.25">
      <c r="B19" s="141"/>
      <c r="C19" s="473" t="s">
        <v>290</v>
      </c>
      <c r="D19" s="474"/>
      <c r="E19" s="474"/>
      <c r="F19" s="486" t="s">
        <v>245</v>
      </c>
      <c r="G19" s="475" t="s">
        <v>237</v>
      </c>
      <c r="H19" s="476">
        <f>'6.000'!G71</f>
        <v>39.858625000000004</v>
      </c>
      <c r="I19" s="477">
        <f>'6.000'!H71</f>
        <v>40.182533333333332</v>
      </c>
      <c r="J19" s="478">
        <f>'6.000'!I71</f>
        <v>40.506441666666667</v>
      </c>
    </row>
    <row r="20" spans="2:10" ht="15" x14ac:dyDescent="0.25">
      <c r="C20" s="473" t="s">
        <v>233</v>
      </c>
      <c r="D20" s="487" t="str">
        <f>CONCATENATE("bei ", '6.000'!I11)</f>
        <v>bei 16</v>
      </c>
      <c r="E20" s="474" t="s">
        <v>244</v>
      </c>
      <c r="F20" s="485"/>
      <c r="G20" s="475" t="s">
        <v>9</v>
      </c>
      <c r="H20" s="476">
        <f>'6.000'!G72</f>
        <v>637.73800000000006</v>
      </c>
      <c r="I20" s="477">
        <f>'6.000'!H72</f>
        <v>642.92053333333331</v>
      </c>
      <c r="J20" s="478">
        <f>'6.000'!I72</f>
        <v>648.10306666666668</v>
      </c>
    </row>
    <row r="21" spans="2:10" ht="17.399999999999999" x14ac:dyDescent="0.3">
      <c r="C21" s="517" t="s">
        <v>232</v>
      </c>
      <c r="D21" s="518"/>
      <c r="E21" s="519"/>
      <c r="F21" s="511" t="s">
        <v>246</v>
      </c>
      <c r="G21" s="513" t="s">
        <v>9</v>
      </c>
      <c r="H21" s="520">
        <f>'6.000'!G73</f>
        <v>-0.60742261602149483</v>
      </c>
      <c r="I21" s="521">
        <f>'6.000'!H73</f>
        <v>294.55858085064585</v>
      </c>
      <c r="J21" s="522">
        <f>'6.000'!I73</f>
        <v>589.72458431731218</v>
      </c>
    </row>
    <row r="22" spans="2:10" ht="15.6" customHeight="1" x14ac:dyDescent="0.25">
      <c r="C22" s="479" t="s">
        <v>240</v>
      </c>
      <c r="D22" s="474"/>
      <c r="E22" s="474"/>
      <c r="F22" s="474"/>
      <c r="G22" s="475" t="s">
        <v>9</v>
      </c>
      <c r="H22" s="488">
        <f>'6.000'!G70</f>
        <v>15.984760572748771</v>
      </c>
      <c r="I22" s="489">
        <f>'6.000'!H70</f>
        <v>23.330512947183831</v>
      </c>
      <c r="J22" s="490">
        <f>'6.000'!I70</f>
        <v>30.558785221625751</v>
      </c>
    </row>
    <row r="23" spans="2:10" ht="15.6" customHeight="1" thickBot="1" x14ac:dyDescent="0.3">
      <c r="C23" s="450" t="s">
        <v>238</v>
      </c>
      <c r="D23" s="491"/>
      <c r="E23" s="492"/>
      <c r="F23" s="492"/>
      <c r="G23" s="493" t="s">
        <v>239</v>
      </c>
      <c r="H23" s="494">
        <f>'6.000'!G77</f>
        <v>20.052713095661879</v>
      </c>
      <c r="I23" s="495">
        <f>'6.000'!H77</f>
        <v>18.816562624405229</v>
      </c>
      <c r="J23" s="496">
        <f>'6.000'!I77</f>
        <v>17.725841620355251</v>
      </c>
    </row>
    <row r="24" spans="2:10" x14ac:dyDescent="0.25">
      <c r="H24" s="205"/>
      <c r="I24" s="205"/>
    </row>
  </sheetData>
  <sheetProtection sheet="1" objects="1" scenarios="1"/>
  <mergeCells count="1">
    <mergeCell ref="B13:B14"/>
  </mergeCells>
  <pageMargins left="0.7" right="0.7" top="0.78740157499999996" bottom="0.78740157499999996" header="0.3" footer="0.3"/>
  <pageSetup paperSize="9" scale="7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5" tint="0.39997558519241921"/>
    <pageSetUpPr fitToPage="1"/>
  </sheetPr>
  <dimension ref="B2:S54"/>
  <sheetViews>
    <sheetView view="pageLayout" topLeftCell="A35" zoomScaleNormal="87" workbookViewId="0">
      <selection activeCell="Q20" sqref="Q20"/>
    </sheetView>
  </sheetViews>
  <sheetFormatPr baseColWidth="10" defaultRowHeight="13.2" x14ac:dyDescent="0.25"/>
  <cols>
    <col min="1" max="1" width="2.109375" customWidth="1"/>
    <col min="6" max="6" width="9.33203125" customWidth="1"/>
    <col min="8" max="8" width="9.109375" customWidth="1"/>
    <col min="9" max="9" width="14.6640625" customWidth="1"/>
    <col min="10" max="10" width="9.21875" customWidth="1"/>
    <col min="13" max="13" width="11.33203125" customWidth="1"/>
    <col min="16" max="16" width="12" customWidth="1"/>
  </cols>
  <sheetData>
    <row r="2" spans="2:19" ht="5.4" customHeight="1" thickBot="1" x14ac:dyDescent="0.3"/>
    <row r="3" spans="2:19" ht="40.049999999999997" customHeight="1" thickBot="1" x14ac:dyDescent="0.3">
      <c r="B3" s="704" t="str">
        <f>'6.000'!B2</f>
        <v xml:space="preserve">               VOKO ÖKO-Legehenne - 6.000 Hennen</v>
      </c>
      <c r="C3" s="705"/>
      <c r="D3" s="705"/>
      <c r="E3" s="705"/>
      <c r="F3" s="705"/>
      <c r="G3" s="705"/>
      <c r="H3" s="705"/>
      <c r="I3" s="705"/>
      <c r="J3" s="705"/>
      <c r="K3" s="545"/>
      <c r="L3" s="702" t="str">
        <f>Info!H3</f>
        <v>Vers.01/2018
 (Stand: 07/2018)</v>
      </c>
      <c r="M3" s="703"/>
    </row>
    <row r="4" spans="2:19" ht="10.199999999999999" customHeight="1" thickBot="1" x14ac:dyDescent="0.3">
      <c r="B4" s="269"/>
      <c r="C4" s="269"/>
      <c r="D4" s="269"/>
      <c r="E4" s="269"/>
      <c r="F4" s="269"/>
      <c r="G4" s="269"/>
      <c r="H4" s="269"/>
      <c r="I4" s="269"/>
      <c r="J4" s="269"/>
      <c r="K4" s="544"/>
      <c r="L4" s="544"/>
      <c r="M4" s="205"/>
    </row>
    <row r="5" spans="2:19" ht="26.55" customHeight="1" x14ac:dyDescent="0.25">
      <c r="B5" s="711" t="s">
        <v>213</v>
      </c>
      <c r="C5" s="712"/>
      <c r="D5" s="712"/>
      <c r="E5" s="712"/>
      <c r="F5" s="712"/>
      <c r="G5" s="712"/>
      <c r="H5" s="712"/>
      <c r="I5" s="712"/>
      <c r="J5" s="712"/>
      <c r="K5" s="712"/>
      <c r="L5" s="713"/>
    </row>
    <row r="6" spans="2:19" ht="17.399999999999999" x14ac:dyDescent="0.25">
      <c r="B6" s="382"/>
      <c r="C6" s="383" t="s">
        <v>82</v>
      </c>
      <c r="D6" s="383"/>
      <c r="E6" s="384"/>
      <c r="F6" s="722" t="s">
        <v>157</v>
      </c>
      <c r="G6" s="723"/>
      <c r="H6" s="724" t="s">
        <v>158</v>
      </c>
      <c r="I6" s="723"/>
      <c r="J6" s="724" t="s">
        <v>159</v>
      </c>
      <c r="K6" s="722"/>
      <c r="L6" s="725"/>
    </row>
    <row r="7" spans="2:19" ht="30.6" customHeight="1" x14ac:dyDescent="0.25">
      <c r="B7" s="385"/>
      <c r="C7" s="386" t="s">
        <v>164</v>
      </c>
      <c r="D7" s="386"/>
      <c r="E7" s="386"/>
      <c r="F7" s="721">
        <f>'6.000'!C20</f>
        <v>0.95</v>
      </c>
      <c r="G7" s="715"/>
      <c r="H7" s="714">
        <f>'6.000'!C21</f>
        <v>0</v>
      </c>
      <c r="I7" s="715"/>
      <c r="J7" s="718">
        <f>'6.000'!C22</f>
        <v>0.05</v>
      </c>
      <c r="K7" s="719"/>
      <c r="L7" s="387"/>
    </row>
    <row r="8" spans="2:19" ht="18" thickBot="1" x14ac:dyDescent="0.3">
      <c r="B8" s="388"/>
      <c r="C8" s="389" t="s">
        <v>165</v>
      </c>
      <c r="D8" s="389"/>
      <c r="E8" s="389"/>
      <c r="F8" s="720">
        <f>'6.000'!E20</f>
        <v>19</v>
      </c>
      <c r="G8" s="717"/>
      <c r="H8" s="716">
        <f>'6.000'!E21</f>
        <v>28</v>
      </c>
      <c r="I8" s="717"/>
      <c r="J8" s="716">
        <f>'6.000'!E22</f>
        <v>40</v>
      </c>
      <c r="K8" s="720"/>
      <c r="L8" s="390"/>
    </row>
    <row r="9" spans="2:19" ht="15.6" x14ac:dyDescent="0.25">
      <c r="B9" s="42"/>
      <c r="C9" s="42"/>
      <c r="D9" s="42"/>
      <c r="E9" s="42"/>
      <c r="F9" s="372"/>
      <c r="G9" s="372"/>
      <c r="H9" s="372"/>
      <c r="I9" s="372"/>
      <c r="J9" s="372"/>
      <c r="K9" s="268"/>
      <c r="L9" s="268"/>
    </row>
    <row r="10" spans="2:19" ht="15.6" x14ac:dyDescent="0.25">
      <c r="B10" s="42"/>
      <c r="C10" s="42"/>
      <c r="D10" s="42"/>
      <c r="E10" s="42"/>
      <c r="F10" s="42"/>
      <c r="G10" s="42"/>
      <c r="H10" s="42"/>
      <c r="I10" s="42"/>
      <c r="J10" s="42"/>
      <c r="K10" s="42"/>
      <c r="L10" s="42"/>
      <c r="N10" s="710"/>
      <c r="O10" s="710"/>
      <c r="S10" s="196"/>
    </row>
    <row r="11" spans="2:19" x14ac:dyDescent="0.25">
      <c r="N11" s="710"/>
      <c r="O11" s="710"/>
      <c r="P11" s="196"/>
      <c r="Q11" s="1"/>
      <c r="R11" s="1"/>
      <c r="S11" s="1"/>
    </row>
    <row r="12" spans="2:19" x14ac:dyDescent="0.25">
      <c r="N12" s="710"/>
      <c r="O12" s="710"/>
      <c r="P12" s="1"/>
      <c r="Q12" s="1"/>
      <c r="R12" s="1"/>
      <c r="S12" s="1"/>
    </row>
    <row r="13" spans="2:19" ht="15" x14ac:dyDescent="0.25">
      <c r="N13" s="710"/>
      <c r="O13" s="710"/>
      <c r="P13" s="10"/>
      <c r="Q13" s="706" t="s">
        <v>74</v>
      </c>
      <c r="R13" s="708" t="s">
        <v>75</v>
      </c>
      <c r="S13" s="1"/>
    </row>
    <row r="14" spans="2:19" ht="15" x14ac:dyDescent="0.25">
      <c r="N14" s="543" t="s">
        <v>77</v>
      </c>
      <c r="O14" s="178"/>
      <c r="P14" s="178"/>
      <c r="Q14" s="707"/>
      <c r="R14" s="709"/>
      <c r="S14" s="1"/>
    </row>
    <row r="15" spans="2:19" x14ac:dyDescent="0.25">
      <c r="N15" s="184"/>
      <c r="O15" s="1"/>
      <c r="P15" s="1"/>
      <c r="Q15" s="1"/>
      <c r="R15" s="179"/>
      <c r="S15" s="1"/>
    </row>
    <row r="16" spans="2:19" ht="15" x14ac:dyDescent="0.25">
      <c r="N16" s="185" t="s">
        <v>76</v>
      </c>
      <c r="O16" s="38"/>
      <c r="P16" s="38"/>
      <c r="Q16" s="57">
        <f>'6.000'!E24*100</f>
        <v>1040</v>
      </c>
      <c r="R16" s="180">
        <f>Q16/100/'6.000'!$H$45*100</f>
        <v>4.180709562890736</v>
      </c>
      <c r="S16" s="140">
        <f t="shared" ref="S16:S23" si="0">R16/$R$30</f>
        <v>0.21297293797929062</v>
      </c>
    </row>
    <row r="17" spans="14:19" ht="15" x14ac:dyDescent="0.25">
      <c r="N17" s="185" t="s">
        <v>13</v>
      </c>
      <c r="O17" s="38"/>
      <c r="P17" s="38"/>
      <c r="Q17" s="57">
        <f>'6.000'!H55</f>
        <v>2472.4086000000002</v>
      </c>
      <c r="R17" s="180">
        <f>$Q17/100/'6.000'!$H$45*100</f>
        <v>9.9388675744166317</v>
      </c>
      <c r="S17" s="140">
        <f t="shared" si="0"/>
        <v>0.50630396483390849</v>
      </c>
    </row>
    <row r="18" spans="14:19" ht="15" x14ac:dyDescent="0.25">
      <c r="N18" s="185" t="s">
        <v>166</v>
      </c>
      <c r="O18" s="38"/>
      <c r="P18" s="38"/>
      <c r="Q18" s="57">
        <f>'6.000'!H28+'6.000'!H29</f>
        <v>47.08</v>
      </c>
      <c r="R18" s="180">
        <f>$Q18/100/'6.000'!$H$45*100</f>
        <v>0.1892575059816306</v>
      </c>
      <c r="S18" s="140">
        <f t="shared" si="0"/>
        <v>9.6411210769855784E-3</v>
      </c>
    </row>
    <row r="19" spans="14:19" ht="15" x14ac:dyDescent="0.25">
      <c r="N19" s="185" t="str">
        <f>'6.000'!G30</f>
        <v xml:space="preserve">    Energie, Wasser</v>
      </c>
      <c r="O19" s="38"/>
      <c r="P19" s="38"/>
      <c r="Q19" s="57">
        <f>'6.000'!H30</f>
        <v>120</v>
      </c>
      <c r="R19" s="180">
        <f>$Q19/100/'6.000'!$H$45*100</f>
        <v>0.48238956494893104</v>
      </c>
      <c r="S19" s="140">
        <f t="shared" si="0"/>
        <v>2.4573800536071992E-2</v>
      </c>
    </row>
    <row r="20" spans="14:19" ht="15" x14ac:dyDescent="0.25">
      <c r="N20" s="185" t="str">
        <f>'6.000'!G31</f>
        <v xml:space="preserve">    Einstreu, Pflege Auslauf</v>
      </c>
      <c r="O20" s="38"/>
      <c r="P20" s="38"/>
      <c r="Q20" s="57">
        <f>'6.000'!H31</f>
        <v>23.6</v>
      </c>
      <c r="R20" s="180">
        <f>$Q20/100/'6.000'!$H$45*100</f>
        <v>9.4869947773289789E-2</v>
      </c>
      <c r="S20" s="140">
        <f t="shared" si="0"/>
        <v>4.8328474387608266E-3</v>
      </c>
    </row>
    <row r="21" spans="14:19" ht="15" x14ac:dyDescent="0.25">
      <c r="N21" s="185" t="str">
        <f>'6.000'!G32&amp;"&amp; Düngerausbringung"</f>
        <v xml:space="preserve">    variable Maschinenkosten&amp; Düngerausbringung</v>
      </c>
      <c r="O21" s="38"/>
      <c r="P21" s="38"/>
      <c r="Q21" s="57">
        <f>'6.000'!H32+'6.000'!H33</f>
        <v>15</v>
      </c>
      <c r="R21" s="180">
        <f>$Q21/100/'6.000'!$H$45*100</f>
        <v>6.029869561861638E-2</v>
      </c>
      <c r="S21" s="140">
        <f t="shared" si="0"/>
        <v>3.071725067008999E-3</v>
      </c>
    </row>
    <row r="22" spans="14:19" ht="15" x14ac:dyDescent="0.25">
      <c r="N22" s="185" t="str">
        <f>'6.000'!G34</f>
        <v xml:space="preserve">    Beratung, Kontrolle</v>
      </c>
      <c r="O22" s="38"/>
      <c r="P22" s="38"/>
      <c r="Q22" s="57">
        <f>'6.000'!H34</f>
        <v>10</v>
      </c>
      <c r="R22" s="180">
        <f>$Q22/100/'6.000'!$H$45*100</f>
        <v>4.0199130412410924E-2</v>
      </c>
      <c r="S22" s="140">
        <f t="shared" si="0"/>
        <v>2.047816711339333E-3</v>
      </c>
    </row>
    <row r="23" spans="14:19" ht="15" x14ac:dyDescent="0.25">
      <c r="N23" s="185" t="s">
        <v>100</v>
      </c>
      <c r="O23" s="1"/>
      <c r="P23" s="1"/>
      <c r="Q23" s="57">
        <f>'6.000'!H58</f>
        <v>62.190400000000004</v>
      </c>
      <c r="R23" s="180">
        <f>$Q23/100/'6.000'!$H$45*100</f>
        <v>0.25</v>
      </c>
      <c r="S23" s="140">
        <f t="shared" si="0"/>
        <v>1.2735454040487764E-2</v>
      </c>
    </row>
    <row r="24" spans="14:19" ht="38.700000000000003" customHeight="1" x14ac:dyDescent="0.25">
      <c r="N24" s="185" t="str">
        <f>'6.000'!G35</f>
        <v>Zinsansatz Vieh- und Umlaufverm.</v>
      </c>
      <c r="O24" s="38"/>
      <c r="P24" s="38"/>
      <c r="Q24" s="57">
        <f>'6.000'!I35</f>
        <v>8.5499999999999989</v>
      </c>
      <c r="R24" s="180">
        <f>$Q24/100/'6.000'!$H$45*100</f>
        <v>3.4370256502611336E-2</v>
      </c>
      <c r="S24" s="140">
        <f>R25/$R$30</f>
        <v>1.0239083556696664E-2</v>
      </c>
    </row>
    <row r="25" spans="14:19" ht="15" x14ac:dyDescent="0.25">
      <c r="N25" s="185" t="str">
        <f>'6.000'!B66</f>
        <v>Gemeinkosten (ohne Mwst.)</v>
      </c>
      <c r="O25" s="38"/>
      <c r="P25" s="38"/>
      <c r="Q25" s="60">
        <f>'6.000'!H36</f>
        <v>50</v>
      </c>
      <c r="R25" s="180">
        <f>$Q25/100/'6.000'!$H$45*100</f>
        <v>0.20099565206205461</v>
      </c>
      <c r="S25" s="140">
        <f>R26/$R$30</f>
        <v>0.13165834122231965</v>
      </c>
    </row>
    <row r="26" spans="14:19" ht="15" x14ac:dyDescent="0.25">
      <c r="N26" s="185" t="s">
        <v>15</v>
      </c>
      <c r="O26" s="38"/>
      <c r="P26" s="38"/>
      <c r="Q26" s="60">
        <f>'6.000'!H72</f>
        <v>642.92053333333331</v>
      </c>
      <c r="R26" s="180">
        <f>$Q26/100/'6.000'!$H$45*100</f>
        <v>2.5844846364283449</v>
      </c>
      <c r="S26" s="140">
        <f>R27/$R$30</f>
        <v>8.0172024248934867E-2</v>
      </c>
    </row>
    <row r="27" spans="14:19" ht="15" x14ac:dyDescent="0.25">
      <c r="N27" s="185" t="s">
        <v>14</v>
      </c>
      <c r="O27" s="38"/>
      <c r="P27" s="38"/>
      <c r="Q27" s="60">
        <f>'6.000'!H64</f>
        <v>391.5</v>
      </c>
      <c r="R27" s="180">
        <f>$Q27/100/'6.000'!$H$45*100</f>
        <v>1.5737959556458874</v>
      </c>
      <c r="S27" s="140">
        <f>R28/$R$30</f>
        <v>0</v>
      </c>
    </row>
    <row r="28" spans="14:19" ht="15" x14ac:dyDescent="0.25">
      <c r="N28" s="186"/>
      <c r="O28" s="38"/>
      <c r="P28" s="38"/>
      <c r="Q28" s="1"/>
      <c r="R28" s="179"/>
      <c r="S28" s="140"/>
    </row>
    <row r="29" spans="14:19" x14ac:dyDescent="0.25">
      <c r="N29" s="12"/>
      <c r="O29" s="1"/>
      <c r="P29" s="1"/>
      <c r="Q29" s="1"/>
      <c r="R29" s="179"/>
      <c r="S29" s="1"/>
    </row>
    <row r="30" spans="14:19" ht="17.399999999999999" x14ac:dyDescent="0.3">
      <c r="N30" s="61" t="s">
        <v>16</v>
      </c>
      <c r="O30" s="41"/>
      <c r="P30" s="41"/>
      <c r="Q30" s="62">
        <f>SUM(Q16:Q27)</f>
        <v>4883.2495333333336</v>
      </c>
      <c r="R30" s="181">
        <f>SUM(R16:R27)</f>
        <v>19.630238482681147</v>
      </c>
      <c r="S30" s="34"/>
    </row>
    <row r="54" ht="205.8" customHeight="1" x14ac:dyDescent="0.25"/>
  </sheetData>
  <sheetProtection sheet="1" objects="1" scenarios="1"/>
  <mergeCells count="15">
    <mergeCell ref="L3:M3"/>
    <mergeCell ref="B3:J3"/>
    <mergeCell ref="Q13:Q14"/>
    <mergeCell ref="R13:R14"/>
    <mergeCell ref="N10:O13"/>
    <mergeCell ref="B5:L5"/>
    <mergeCell ref="H7:I7"/>
    <mergeCell ref="H8:I8"/>
    <mergeCell ref="J7:K7"/>
    <mergeCell ref="J8:K8"/>
    <mergeCell ref="F7:G7"/>
    <mergeCell ref="F8:G8"/>
    <mergeCell ref="F6:G6"/>
    <mergeCell ref="H6:I6"/>
    <mergeCell ref="J6:L6"/>
  </mergeCells>
  <pageMargins left="0.25" right="0.25" top="0.75" bottom="0.75" header="0.3" footer="0.3"/>
  <pageSetup paperSize="9" scale="74" orientation="portrait" r:id="rId1"/>
  <headerFooter alignWithMargins="0">
    <oddFooter>&amp;LLEL, Abt.2, J.Miez, K.Schabel, V. Segger&amp;C&amp;F&amp;R&amp;D</oddFooter>
  </headerFooter>
  <rowBreaks count="1" manualBreakCount="1">
    <brk id="56" max="1638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FFC000"/>
    <pageSetUpPr fitToPage="1"/>
  </sheetPr>
  <dimension ref="A1:AO100"/>
  <sheetViews>
    <sheetView showGridLines="0" view="pageBreakPreview" zoomScale="60" zoomScaleNormal="85" workbookViewId="0">
      <selection activeCell="S15" sqref="S15"/>
    </sheetView>
  </sheetViews>
  <sheetFormatPr baseColWidth="10" defaultColWidth="11.33203125" defaultRowHeight="13.2" x14ac:dyDescent="0.25"/>
  <cols>
    <col min="1" max="1" width="1.33203125" style="1" customWidth="1"/>
    <col min="2" max="2" width="33.88671875" style="12" customWidth="1"/>
    <col min="3" max="3" width="17.44140625" style="12" customWidth="1"/>
    <col min="4" max="4" width="6.44140625" style="12" customWidth="1"/>
    <col min="5" max="5" width="18.33203125" style="12" customWidth="1"/>
    <col min="6" max="6" width="8.6640625" style="12" customWidth="1"/>
    <col min="7" max="7" width="29.77734375" style="12" customWidth="1"/>
    <col min="8" max="8" width="20.33203125" style="12" customWidth="1"/>
    <col min="9" max="9" width="9.88671875" style="12" customWidth="1"/>
    <col min="10" max="10" width="10.44140625" style="12" customWidth="1"/>
    <col min="11" max="11" width="9.77734375" style="12" customWidth="1"/>
    <col min="12" max="12" width="0.88671875" style="12" customWidth="1"/>
    <col min="13" max="13" width="4.21875" style="1" hidden="1" customWidth="1"/>
    <col min="14" max="14" width="26.6640625" style="1" hidden="1" customWidth="1"/>
    <col min="15" max="15" width="9.77734375" style="1" hidden="1" customWidth="1"/>
    <col min="16" max="16" width="11.33203125" style="1" hidden="1" customWidth="1"/>
    <col min="17" max="17" width="33.6640625" style="1" hidden="1" customWidth="1"/>
    <col min="18" max="18" width="11.33203125" style="1" customWidth="1"/>
    <col min="19" max="16384" width="11.33203125" style="1"/>
  </cols>
  <sheetData>
    <row r="1" spans="2:35" ht="6.15" customHeight="1" thickBot="1" x14ac:dyDescent="0.35">
      <c r="B1" s="11"/>
      <c r="C1" s="11"/>
      <c r="D1" s="11"/>
      <c r="E1" s="11"/>
      <c r="F1" s="11"/>
      <c r="G1" s="11"/>
      <c r="H1" s="11"/>
      <c r="I1" s="11"/>
      <c r="J1" s="11"/>
      <c r="K1" s="11"/>
      <c r="L1" s="11"/>
      <c r="M1" s="3"/>
      <c r="N1" s="3"/>
      <c r="O1" s="3"/>
    </row>
    <row r="2" spans="2:35" ht="36" customHeight="1" thickBot="1" x14ac:dyDescent="0.35">
      <c r="B2" s="683" t="s">
        <v>192</v>
      </c>
      <c r="C2" s="684"/>
      <c r="D2" s="684"/>
      <c r="E2" s="684"/>
      <c r="F2" s="684"/>
      <c r="G2" s="684"/>
      <c r="H2" s="684"/>
      <c r="I2" s="685" t="s">
        <v>345</v>
      </c>
      <c r="J2" s="686"/>
      <c r="N2" s="3"/>
      <c r="O2" s="3"/>
      <c r="R2" s="726" t="s">
        <v>36</v>
      </c>
      <c r="S2" s="727"/>
      <c r="T2" s="728"/>
    </row>
    <row r="3" spans="2:35" ht="4.05" customHeight="1" thickBot="1" x14ac:dyDescent="0.3">
      <c r="B3" s="74"/>
      <c r="C3" s="74"/>
      <c r="D3" s="74"/>
      <c r="E3" s="74"/>
      <c r="F3" s="74"/>
      <c r="G3" s="74"/>
      <c r="H3" s="74"/>
      <c r="I3" s="74"/>
      <c r="J3" s="74"/>
      <c r="K3" s="11"/>
      <c r="L3" s="11"/>
      <c r="M3"/>
      <c r="N3"/>
      <c r="O3"/>
    </row>
    <row r="4" spans="2:35" ht="22.65" customHeight="1" thickBot="1" x14ac:dyDescent="0.35">
      <c r="B4" s="92" t="s">
        <v>23</v>
      </c>
      <c r="C4" s="695" t="s">
        <v>12</v>
      </c>
      <c r="D4" s="696"/>
      <c r="F4" s="144" t="s">
        <v>24</v>
      </c>
      <c r="G4" s="145" t="s">
        <v>61</v>
      </c>
      <c r="H4" s="92" t="s">
        <v>11</v>
      </c>
      <c r="I4" s="681">
        <v>43304</v>
      </c>
      <c r="J4" s="682"/>
      <c r="M4"/>
      <c r="N4"/>
      <c r="O4"/>
    </row>
    <row r="5" spans="2:35" ht="4.8" customHeight="1" x14ac:dyDescent="0.25">
      <c r="B5" s="75"/>
      <c r="C5" s="75"/>
      <c r="D5" s="75"/>
      <c r="E5" s="75"/>
      <c r="F5" s="75"/>
      <c r="G5" s="75"/>
      <c r="H5" s="75"/>
      <c r="I5" s="75"/>
      <c r="J5" s="75"/>
      <c r="K5" s="11"/>
      <c r="L5" s="11"/>
      <c r="M5"/>
      <c r="N5"/>
      <c r="O5"/>
    </row>
    <row r="6" spans="2:35" ht="14.25" customHeight="1" x14ac:dyDescent="0.25">
      <c r="B6" s="107"/>
      <c r="C6" s="108" t="s">
        <v>219</v>
      </c>
      <c r="D6" s="108"/>
      <c r="E6" s="109" t="s">
        <v>22</v>
      </c>
      <c r="F6" s="159" t="s">
        <v>27</v>
      </c>
      <c r="G6" s="426" t="s">
        <v>37</v>
      </c>
      <c r="H6" s="427"/>
      <c r="I6" s="428" t="s">
        <v>25</v>
      </c>
      <c r="J6" s="159"/>
      <c r="L6" s="11"/>
      <c r="M6"/>
      <c r="N6"/>
      <c r="O6"/>
      <c r="S6" s="430" t="s">
        <v>177</v>
      </c>
      <c r="T6" s="430"/>
      <c r="U6" s="430"/>
      <c r="V6" s="430"/>
      <c r="W6" s="430"/>
      <c r="X6" s="430"/>
      <c r="Y6" s="430"/>
      <c r="Z6" s="430"/>
    </row>
    <row r="7" spans="2:35" ht="14.25" customHeight="1" x14ac:dyDescent="0.3">
      <c r="E7" s="109" t="s">
        <v>21</v>
      </c>
      <c r="F7" s="110" t="str">
        <f>IF(F6="","X","")</f>
        <v/>
      </c>
      <c r="G7" s="429"/>
      <c r="H7" s="427"/>
      <c r="I7" s="428" t="s">
        <v>26</v>
      </c>
      <c r="J7" s="110" t="str">
        <f>IF(J6="","X","")</f>
        <v>X</v>
      </c>
      <c r="K7" s="101" t="s">
        <v>0</v>
      </c>
      <c r="L7" s="11"/>
      <c r="M7"/>
      <c r="N7"/>
      <c r="O7"/>
      <c r="S7" s="111"/>
    </row>
    <row r="8" spans="2:35" ht="6" customHeight="1" thickBot="1" x14ac:dyDescent="0.35">
      <c r="C8" s="75"/>
      <c r="D8" s="75"/>
      <c r="E8" s="75"/>
      <c r="F8" s="75"/>
      <c r="G8" s="75"/>
      <c r="H8" s="75"/>
      <c r="I8" s="75"/>
      <c r="J8" s="75"/>
      <c r="K8" s="102"/>
      <c r="L8" s="17"/>
      <c r="M8" s="3"/>
      <c r="N8"/>
      <c r="O8" s="3"/>
      <c r="S8" s="111"/>
    </row>
    <row r="9" spans="2:35" ht="19.5" customHeight="1" x14ac:dyDescent="0.3">
      <c r="B9" s="76" t="s">
        <v>65</v>
      </c>
      <c r="C9" s="77"/>
      <c r="D9" s="77"/>
      <c r="E9" s="94">
        <v>0.107</v>
      </c>
      <c r="F9" s="99" t="str">
        <f>IF($J$7="",E9,"")</f>
        <v/>
      </c>
      <c r="G9" s="78" t="s">
        <v>29</v>
      </c>
      <c r="H9" s="79"/>
      <c r="I9" s="146">
        <v>2.5</v>
      </c>
      <c r="J9" s="80" t="s">
        <v>1</v>
      </c>
      <c r="K9" s="103">
        <f>IF($J$7="",1+F9,1)</f>
        <v>1</v>
      </c>
      <c r="L9" s="16"/>
      <c r="M9"/>
      <c r="N9"/>
      <c r="O9"/>
      <c r="S9" s="430" t="s">
        <v>261</v>
      </c>
      <c r="T9" s="425"/>
      <c r="U9" s="425"/>
      <c r="V9" s="425"/>
      <c r="W9" s="425"/>
      <c r="X9" s="425"/>
      <c r="Y9" s="425"/>
    </row>
    <row r="10" spans="2:35" ht="19.5" customHeight="1" x14ac:dyDescent="0.3">
      <c r="B10" s="86" t="s">
        <v>20</v>
      </c>
      <c r="C10" s="87"/>
      <c r="D10" s="87"/>
      <c r="E10" s="95">
        <v>0.19</v>
      </c>
      <c r="F10" s="100" t="str">
        <f>IF($J$7="",E10,"")</f>
        <v/>
      </c>
      <c r="G10" s="88" t="s">
        <v>19</v>
      </c>
      <c r="H10" s="89"/>
      <c r="I10" s="91">
        <v>40</v>
      </c>
      <c r="J10" s="90" t="s">
        <v>1</v>
      </c>
      <c r="K10" s="103">
        <f>IF($J$7="",1+F10,1)</f>
        <v>1</v>
      </c>
      <c r="L10" s="16"/>
      <c r="M10"/>
      <c r="N10"/>
      <c r="O10"/>
      <c r="S10" s="112"/>
    </row>
    <row r="11" spans="2:35" ht="19.5" customHeight="1" thickBot="1" x14ac:dyDescent="0.35">
      <c r="B11" s="81" t="s">
        <v>73</v>
      </c>
      <c r="C11" s="82"/>
      <c r="D11" s="82"/>
      <c r="E11" s="96">
        <v>7.0000000000000007E-2</v>
      </c>
      <c r="F11" s="97" t="str">
        <f>IF($J$7="",E11,"")</f>
        <v/>
      </c>
      <c r="G11" s="84" t="s">
        <v>2</v>
      </c>
      <c r="H11" s="85"/>
      <c r="I11" s="49">
        <v>16</v>
      </c>
      <c r="J11" s="83" t="s">
        <v>9</v>
      </c>
      <c r="K11" s="104">
        <f>IF($J$7="",1+F11,1)</f>
        <v>1</v>
      </c>
      <c r="L11" s="16"/>
      <c r="M11"/>
      <c r="N11"/>
      <c r="O11"/>
      <c r="S11" s="112"/>
    </row>
    <row r="12" spans="2:35" s="135" customFormat="1" ht="7.5" customHeight="1" thickBot="1" x14ac:dyDescent="0.35">
      <c r="B12" s="132"/>
      <c r="C12" s="132"/>
      <c r="D12" s="132"/>
      <c r="E12" s="115"/>
      <c r="F12" s="115"/>
      <c r="G12" s="133"/>
      <c r="H12" s="133"/>
      <c r="I12"/>
      <c r="J12"/>
      <c r="K12" s="116"/>
      <c r="L12" s="25"/>
      <c r="M12" s="134"/>
      <c r="N12" s="134"/>
      <c r="O12" s="134"/>
      <c r="S12" s="134"/>
    </row>
    <row r="13" spans="2:35" ht="17.399999999999999" x14ac:dyDescent="0.3">
      <c r="B13" s="660" t="s">
        <v>38</v>
      </c>
      <c r="C13" s="661"/>
      <c r="D13" s="661"/>
      <c r="E13" s="661"/>
      <c r="F13" s="661"/>
      <c r="G13" s="661"/>
      <c r="H13" s="662"/>
      <c r="I13" s="689" t="s">
        <v>116</v>
      </c>
      <c r="J13" s="690"/>
      <c r="K13" s="116"/>
      <c r="L13" s="16"/>
      <c r="M13"/>
      <c r="N13"/>
      <c r="O13"/>
      <c r="S13" s="112"/>
    </row>
    <row r="14" spans="2:35" ht="15" x14ac:dyDescent="0.25">
      <c r="B14" s="165" t="s">
        <v>31</v>
      </c>
      <c r="C14" s="174" t="s">
        <v>30</v>
      </c>
      <c r="D14" s="174"/>
      <c r="E14" s="167">
        <v>3.25</v>
      </c>
      <c r="F14" s="124" t="s">
        <v>170</v>
      </c>
      <c r="G14" s="14"/>
      <c r="H14" s="174" t="s">
        <v>117</v>
      </c>
      <c r="I14" s="655">
        <f>76.4*0.5/2.5</f>
        <v>15.280000000000001</v>
      </c>
      <c r="J14" s="656"/>
      <c r="K14" s="116"/>
      <c r="M14"/>
      <c r="N14"/>
      <c r="O14"/>
      <c r="S14" s="114" t="s">
        <v>308</v>
      </c>
    </row>
    <row r="15" spans="2:35" ht="16.2" x14ac:dyDescent="0.35">
      <c r="B15" s="166" t="s">
        <v>221</v>
      </c>
      <c r="C15" s="174" t="s">
        <v>59</v>
      </c>
      <c r="D15" s="174"/>
      <c r="E15" s="168">
        <v>1.27</v>
      </c>
      <c r="F15" s="550" t="s">
        <v>291</v>
      </c>
      <c r="G15" s="14"/>
      <c r="H15" s="174" t="s">
        <v>118</v>
      </c>
      <c r="I15" s="647">
        <f>39.6/2.5</f>
        <v>15.84</v>
      </c>
      <c r="J15" s="648"/>
      <c r="K15" s="116"/>
      <c r="M15"/>
      <c r="N15"/>
      <c r="O15"/>
      <c r="S15" s="114" t="s">
        <v>349</v>
      </c>
      <c r="AI15" s="113" t="s">
        <v>163</v>
      </c>
    </row>
    <row r="16" spans="2:35" ht="19.2" thickBot="1" x14ac:dyDescent="0.45">
      <c r="B16" s="170"/>
      <c r="C16" s="136" t="s">
        <v>60</v>
      </c>
      <c r="D16" s="136"/>
      <c r="E16" s="169">
        <v>1.1499999999999999</v>
      </c>
      <c r="F16" s="546" t="s">
        <v>63</v>
      </c>
      <c r="G16" s="138"/>
      <c r="H16" s="136" t="s">
        <v>119</v>
      </c>
      <c r="I16" s="649">
        <f>31.6/2.5</f>
        <v>12.64</v>
      </c>
      <c r="J16" s="650"/>
      <c r="K16"/>
      <c r="L16" s="11"/>
      <c r="M16"/>
      <c r="N16"/>
      <c r="O16"/>
      <c r="S16" s="112"/>
      <c r="AI16" s="114" t="s">
        <v>96</v>
      </c>
    </row>
    <row r="17" spans="2:41" s="121" customFormat="1" ht="5.4" customHeight="1" thickBot="1" x14ac:dyDescent="0.3">
      <c r="B17" s="117"/>
      <c r="C17" s="118"/>
      <c r="D17" s="118"/>
      <c r="E17" s="118"/>
      <c r="F17" s="175"/>
      <c r="G17" s="117"/>
      <c r="H17" s="117"/>
      <c r="I17" s="117"/>
      <c r="J17" s="117"/>
      <c r="K17" s="119"/>
      <c r="L17" s="120"/>
      <c r="M17" s="119"/>
      <c r="N17" s="119"/>
      <c r="O17" s="119"/>
      <c r="S17" s="119"/>
    </row>
    <row r="18" spans="2:41" ht="25.8" customHeight="1" thickBot="1" x14ac:dyDescent="0.45">
      <c r="B18" s="651" t="str">
        <f>CONCATENATE("100 eingestallte Legehennen und ",E28," monatige Legeperiode")</f>
        <v>100 eingestallte Legehennen und 12 monatige Legeperiode</v>
      </c>
      <c r="C18" s="651"/>
      <c r="D18" s="651"/>
      <c r="E18" s="651"/>
      <c r="F18" s="651"/>
      <c r="G18" s="651"/>
      <c r="H18" s="651"/>
      <c r="I18" s="651"/>
      <c r="J18" s="652"/>
      <c r="K18" s="15"/>
      <c r="L18" s="194" t="str">
        <f>IF($C$20+$C$22&gt;1,"Summe der Anteile muss 100 % ergeben !","")</f>
        <v/>
      </c>
      <c r="M18"/>
      <c r="N18"/>
      <c r="O18"/>
      <c r="P18"/>
      <c r="R18"/>
      <c r="S18" s="630" t="s">
        <v>309</v>
      </c>
      <c r="T18" s="631"/>
      <c r="U18" s="631"/>
      <c r="V18" s="631"/>
      <c r="W18" s="631"/>
      <c r="X18" s="631"/>
      <c r="Y18" s="631"/>
      <c r="Z18" s="631"/>
      <c r="AA18" s="631"/>
      <c r="AB18" s="631"/>
      <c r="AC18" s="631"/>
      <c r="AD18" s="632"/>
      <c r="AI18" s="214" t="s">
        <v>94</v>
      </c>
      <c r="AJ18" s="202"/>
      <c r="AK18" s="202"/>
      <c r="AL18" s="202"/>
      <c r="AM18" s="202">
        <v>2013</v>
      </c>
      <c r="AN18" s="202">
        <v>2014</v>
      </c>
      <c r="AO18" s="203">
        <v>2015</v>
      </c>
    </row>
    <row r="19" spans="2:41" ht="20.100000000000001" customHeight="1" thickBot="1" x14ac:dyDescent="0.35">
      <c r="B19" s="423" t="s">
        <v>82</v>
      </c>
      <c r="C19" s="653" t="str">
        <f>IF($C$20+$C$21+$C$22&gt;1,"Summe Anteile 100 % ?","Anteile")</f>
        <v>Anteile</v>
      </c>
      <c r="D19" s="653"/>
      <c r="E19" s="654" t="s">
        <v>99</v>
      </c>
      <c r="F19" s="654"/>
      <c r="G19" s="434" t="s">
        <v>154</v>
      </c>
      <c r="H19" s="396"/>
      <c r="I19" s="431" t="s">
        <v>143</v>
      </c>
      <c r="J19" s="397"/>
      <c r="K19" s="15"/>
      <c r="R19"/>
      <c r="S19" s="633"/>
      <c r="T19" s="634"/>
      <c r="U19" s="634"/>
      <c r="V19" s="634"/>
      <c r="W19" s="634"/>
      <c r="X19" s="634"/>
      <c r="Y19" s="634"/>
      <c r="Z19" s="634"/>
      <c r="AA19" s="634"/>
      <c r="AB19" s="634"/>
      <c r="AC19" s="634"/>
      <c r="AD19" s="635"/>
      <c r="AI19" s="204" t="s">
        <v>87</v>
      </c>
      <c r="AJ19" s="205" t="s">
        <v>90</v>
      </c>
      <c r="AK19" s="206" t="s">
        <v>91</v>
      </c>
      <c r="AL19" s="206" t="s">
        <v>92</v>
      </c>
      <c r="AM19" s="206">
        <v>29.33</v>
      </c>
      <c r="AN19" s="206">
        <v>30.53</v>
      </c>
      <c r="AO19" s="207">
        <v>30.82</v>
      </c>
    </row>
    <row r="20" spans="2:41" ht="20.100000000000001" customHeight="1" x14ac:dyDescent="0.25">
      <c r="B20" s="409" t="s">
        <v>95</v>
      </c>
      <c r="C20" s="400">
        <f>100%-C21-C22</f>
        <v>0.5</v>
      </c>
      <c r="D20" s="411" t="s">
        <v>1</v>
      </c>
      <c r="E20" s="403">
        <v>19</v>
      </c>
      <c r="F20" s="395" t="s">
        <v>142</v>
      </c>
      <c r="G20" s="406">
        <v>0</v>
      </c>
      <c r="H20" s="395" t="s">
        <v>173</v>
      </c>
      <c r="I20" s="406">
        <v>0</v>
      </c>
      <c r="J20" s="417" t="s">
        <v>144</v>
      </c>
      <c r="K20" s="98"/>
      <c r="R20" s="636" t="s">
        <v>281</v>
      </c>
      <c r="S20" s="443" t="s">
        <v>127</v>
      </c>
      <c r="T20" s="425"/>
      <c r="U20" s="425"/>
      <c r="V20" s="425"/>
      <c r="W20" s="425"/>
      <c r="X20" s="425"/>
      <c r="Y20" s="630" t="s">
        <v>316</v>
      </c>
      <c r="Z20" s="639"/>
      <c r="AA20" s="639"/>
      <c r="AB20" s="639"/>
      <c r="AC20" s="639"/>
      <c r="AD20" s="640"/>
      <c r="AE20" s="641" t="s">
        <v>176</v>
      </c>
      <c r="AF20" s="678"/>
      <c r="AG20" s="678"/>
      <c r="AH20" s="643"/>
      <c r="AI20" s="208" t="s">
        <v>87</v>
      </c>
      <c r="AJ20" s="205" t="s">
        <v>93</v>
      </c>
      <c r="AK20" s="206" t="s">
        <v>91</v>
      </c>
      <c r="AL20" s="206" t="s">
        <v>92</v>
      </c>
      <c r="AM20" s="206">
        <v>31.98</v>
      </c>
      <c r="AN20" s="206">
        <v>33.31</v>
      </c>
      <c r="AO20" s="209">
        <v>33.47</v>
      </c>
    </row>
    <row r="21" spans="2:41" ht="20.100000000000001" customHeight="1" x14ac:dyDescent="0.25">
      <c r="B21" s="409" t="s">
        <v>129</v>
      </c>
      <c r="C21" s="401">
        <v>0.4</v>
      </c>
      <c r="D21" s="412" t="s">
        <v>1</v>
      </c>
      <c r="E21" s="404">
        <v>28</v>
      </c>
      <c r="F21" s="414" t="s">
        <v>142</v>
      </c>
      <c r="G21" s="407">
        <v>2.5</v>
      </c>
      <c r="H21" s="414" t="s">
        <v>174</v>
      </c>
      <c r="I21" s="407">
        <v>0.15</v>
      </c>
      <c r="J21" s="418" t="s">
        <v>144</v>
      </c>
      <c r="K21" s="98"/>
      <c r="R21" s="637"/>
      <c r="S21" s="443" t="s">
        <v>310</v>
      </c>
      <c r="T21" s="425"/>
      <c r="U21" s="425"/>
      <c r="V21" s="425"/>
      <c r="W21" s="425"/>
      <c r="X21" s="425"/>
      <c r="Y21" s="641"/>
      <c r="Z21" s="642"/>
      <c r="AA21" s="642"/>
      <c r="AB21" s="642"/>
      <c r="AC21" s="642"/>
      <c r="AD21" s="643"/>
      <c r="AE21" s="641"/>
      <c r="AF21" s="678"/>
      <c r="AG21" s="678"/>
      <c r="AH21" s="643"/>
      <c r="AI21" s="208" t="s">
        <v>88</v>
      </c>
      <c r="AJ21" s="205" t="s">
        <v>90</v>
      </c>
      <c r="AK21" s="206" t="s">
        <v>91</v>
      </c>
      <c r="AL21" s="206" t="s">
        <v>92</v>
      </c>
      <c r="AM21" s="206">
        <v>24.83</v>
      </c>
      <c r="AN21" s="206">
        <v>24.91</v>
      </c>
      <c r="AO21" s="209">
        <v>25.7</v>
      </c>
    </row>
    <row r="22" spans="2:41" ht="20.100000000000001" customHeight="1" thickBot="1" x14ac:dyDescent="0.3">
      <c r="B22" s="410" t="s">
        <v>101</v>
      </c>
      <c r="C22" s="402">
        <v>0.1</v>
      </c>
      <c r="D22" s="413" t="s">
        <v>1</v>
      </c>
      <c r="E22" s="405">
        <v>40</v>
      </c>
      <c r="F22" s="415" t="s">
        <v>142</v>
      </c>
      <c r="G22" s="408">
        <v>5</v>
      </c>
      <c r="H22" s="416" t="s">
        <v>175</v>
      </c>
      <c r="I22" s="408">
        <v>0.25</v>
      </c>
      <c r="J22" s="419" t="s">
        <v>144</v>
      </c>
      <c r="K22" s="98"/>
      <c r="R22" s="638"/>
      <c r="S22" s="443" t="s">
        <v>201</v>
      </c>
      <c r="T22" s="425"/>
      <c r="U22" s="425"/>
      <c r="V22" s="425"/>
      <c r="W22" s="425"/>
      <c r="X22" s="425"/>
      <c r="Y22" s="644"/>
      <c r="Z22" s="645"/>
      <c r="AA22" s="645"/>
      <c r="AB22" s="645"/>
      <c r="AC22" s="645"/>
      <c r="AD22" s="646"/>
      <c r="AI22" s="208" t="s">
        <v>88</v>
      </c>
      <c r="AJ22" s="205" t="s">
        <v>93</v>
      </c>
      <c r="AK22" s="206" t="s">
        <v>91</v>
      </c>
      <c r="AL22" s="206" t="s">
        <v>92</v>
      </c>
      <c r="AM22" s="206"/>
      <c r="AN22" s="206"/>
      <c r="AO22" s="209"/>
    </row>
    <row r="23" spans="2:41" ht="20.100000000000001" customHeight="1" thickBot="1" x14ac:dyDescent="0.35">
      <c r="B23" s="420" t="s">
        <v>171</v>
      </c>
      <c r="C23" s="421"/>
      <c r="D23" s="421"/>
      <c r="E23" s="432">
        <f>C20*E20+C21*E21+C22*E22</f>
        <v>24.700000000000003</v>
      </c>
      <c r="F23" s="422" t="s">
        <v>142</v>
      </c>
      <c r="G23" s="106" t="s">
        <v>325</v>
      </c>
      <c r="H23" s="190"/>
      <c r="I23" s="566">
        <v>2.4</v>
      </c>
      <c r="J23" s="233" t="s">
        <v>32</v>
      </c>
      <c r="K23" s="18"/>
      <c r="R23"/>
      <c r="S23" s="114" t="s">
        <v>160</v>
      </c>
      <c r="AI23" s="210" t="s">
        <v>157</v>
      </c>
      <c r="AJ23" s="211" t="s">
        <v>90</v>
      </c>
      <c r="AK23" s="212" t="s">
        <v>91</v>
      </c>
      <c r="AL23" s="212" t="s">
        <v>92</v>
      </c>
      <c r="AM23" s="212">
        <v>24.83</v>
      </c>
      <c r="AN23" s="212">
        <v>24.91</v>
      </c>
      <c r="AO23" s="213">
        <v>25.7</v>
      </c>
    </row>
    <row r="24" spans="2:41" ht="20.100000000000001" customHeight="1" x14ac:dyDescent="0.25">
      <c r="B24" s="218" t="s">
        <v>85</v>
      </c>
      <c r="C24" s="391"/>
      <c r="D24" s="391"/>
      <c r="E24" s="392">
        <v>10.6</v>
      </c>
      <c r="F24" s="235" t="s">
        <v>7</v>
      </c>
      <c r="G24" s="188" t="s">
        <v>79</v>
      </c>
      <c r="H24" s="199"/>
      <c r="I24" s="200">
        <f>$E$14*$I$14+$E$15*$I$15+$E$16*$I$16</f>
        <v>84.31280000000001</v>
      </c>
      <c r="J24" s="237" t="s">
        <v>9</v>
      </c>
      <c r="K24" s="18"/>
      <c r="R24"/>
      <c r="S24" s="114" t="s">
        <v>296</v>
      </c>
      <c r="AB24"/>
      <c r="AC24"/>
      <c r="AD24" s="201"/>
      <c r="AE24" s="201"/>
      <c r="AF24" s="201"/>
      <c r="AG24" s="201"/>
      <c r="AH24" s="201"/>
    </row>
    <row r="25" spans="2:41" ht="20.100000000000001" customHeight="1" thickBot="1" x14ac:dyDescent="0.35">
      <c r="B25" s="106" t="s">
        <v>86</v>
      </c>
      <c r="C25" s="236"/>
      <c r="D25" s="236"/>
      <c r="E25" s="122">
        <v>1</v>
      </c>
      <c r="F25" s="233" t="s">
        <v>7</v>
      </c>
      <c r="G25" s="193" t="s">
        <v>102</v>
      </c>
      <c r="H25" s="250"/>
      <c r="I25" s="223">
        <f>12/E28</f>
        <v>1</v>
      </c>
      <c r="J25" s="251"/>
      <c r="R25"/>
      <c r="S25" s="433" t="s">
        <v>197</v>
      </c>
      <c r="T25" s="425"/>
      <c r="U25" s="425"/>
      <c r="V25" s="425"/>
      <c r="W25" s="425"/>
      <c r="X25" s="425"/>
      <c r="Y25" s="425"/>
      <c r="Z25" s="425"/>
      <c r="AA25" s="425"/>
      <c r="AB25" s="425"/>
      <c r="AC25" s="425"/>
      <c r="AD25" s="425"/>
      <c r="AE25" s="425"/>
    </row>
    <row r="26" spans="2:41" ht="20.100000000000001" customHeight="1" x14ac:dyDescent="0.25">
      <c r="B26" s="106" t="s">
        <v>120</v>
      </c>
      <c r="C26" s="247"/>
      <c r="D26" s="247"/>
      <c r="E26" s="195">
        <v>0.12</v>
      </c>
      <c r="F26" s="239" t="s">
        <v>1</v>
      </c>
      <c r="G26" s="380" t="s">
        <v>326</v>
      </c>
      <c r="H26" s="381"/>
      <c r="I26" s="379">
        <f>SUM(I28:I35)</f>
        <v>193.38887826133163</v>
      </c>
      <c r="J26" s="233" t="s">
        <v>156</v>
      </c>
      <c r="K26" s="18"/>
      <c r="R26"/>
      <c r="S26" s="114" t="s">
        <v>311</v>
      </c>
      <c r="AH26" s="259" t="s">
        <v>149</v>
      </c>
      <c r="AI26" s="260"/>
      <c r="AJ26" s="261"/>
    </row>
    <row r="27" spans="2:41" ht="20.100000000000001" customHeight="1" x14ac:dyDescent="0.25">
      <c r="B27" s="106" t="s">
        <v>132</v>
      </c>
      <c r="C27" s="230">
        <v>0.04</v>
      </c>
      <c r="D27" s="247"/>
      <c r="E27" s="122">
        <v>8</v>
      </c>
      <c r="F27" s="233" t="s">
        <v>292</v>
      </c>
      <c r="G27" s="189" t="s">
        <v>3</v>
      </c>
      <c r="H27" s="241" t="s">
        <v>64</v>
      </c>
      <c r="I27" s="105"/>
      <c r="J27" s="242"/>
      <c r="K27" s="11"/>
      <c r="R27"/>
      <c r="S27" s="114" t="s">
        <v>298</v>
      </c>
      <c r="AH27" s="262" t="s">
        <v>146</v>
      </c>
      <c r="AI27" s="258" t="s">
        <v>147</v>
      </c>
      <c r="AJ27" s="263" t="s">
        <v>148</v>
      </c>
    </row>
    <row r="28" spans="2:41" ht="20.100000000000001" customHeight="1" thickBot="1" x14ac:dyDescent="0.3">
      <c r="B28" s="215" t="s">
        <v>106</v>
      </c>
      <c r="C28" s="240"/>
      <c r="D28" s="240"/>
      <c r="E28" s="220">
        <v>12</v>
      </c>
      <c r="F28" s="233" t="s">
        <v>131</v>
      </c>
      <c r="G28" s="106" t="s">
        <v>81</v>
      </c>
      <c r="H28" s="122">
        <v>16</v>
      </c>
      <c r="I28" s="163">
        <f>IF($J$7="",H28,H28/K28)</f>
        <v>13.445378151260504</v>
      </c>
      <c r="J28" s="233" t="s">
        <v>156</v>
      </c>
      <c r="K28" s="98">
        <f>1+$E$10</f>
        <v>1.19</v>
      </c>
      <c r="R28"/>
      <c r="S28" s="114" t="s">
        <v>299</v>
      </c>
      <c r="AH28" s="264">
        <v>5</v>
      </c>
      <c r="AI28" s="265">
        <v>25</v>
      </c>
      <c r="AJ28" s="266">
        <v>9</v>
      </c>
      <c r="AK28" s="1" t="s">
        <v>187</v>
      </c>
    </row>
    <row r="29" spans="2:41" ht="20.100000000000001" customHeight="1" x14ac:dyDescent="0.25">
      <c r="B29" s="231" t="s">
        <v>126</v>
      </c>
      <c r="C29" s="243"/>
      <c r="D29" s="243"/>
      <c r="E29" s="216">
        <v>14</v>
      </c>
      <c r="F29" s="244" t="s">
        <v>107</v>
      </c>
      <c r="G29" s="106" t="s">
        <v>97</v>
      </c>
      <c r="H29" s="122">
        <f>AH28+AI28+AJ28*E26</f>
        <v>31.08</v>
      </c>
      <c r="I29" s="163">
        <f t="shared" ref="I29" si="0">IF($J$7="",H29,H29/K29)</f>
        <v>28.075880758807585</v>
      </c>
      <c r="J29" s="233" t="s">
        <v>156</v>
      </c>
      <c r="K29" s="183">
        <f>1+$E$9</f>
        <v>1.107</v>
      </c>
      <c r="R29"/>
      <c r="S29" s="114" t="s">
        <v>312</v>
      </c>
    </row>
    <row r="30" spans="2:41" ht="20.100000000000001" customHeight="1" thickBot="1" x14ac:dyDescent="0.3">
      <c r="B30" s="106" t="s">
        <v>138</v>
      </c>
      <c r="C30" s="217"/>
      <c r="D30" s="245"/>
      <c r="E30" s="122">
        <v>57.5</v>
      </c>
      <c r="F30" s="233" t="s">
        <v>8</v>
      </c>
      <c r="G30" s="106" t="s">
        <v>55</v>
      </c>
      <c r="H30" s="122">
        <v>120</v>
      </c>
      <c r="I30" s="163">
        <f>IF($J$7="",H30,H30/K30)</f>
        <v>100.84033613445379</v>
      </c>
      <c r="J30" s="233" t="s">
        <v>156</v>
      </c>
      <c r="K30" s="98">
        <f t="shared" ref="K30:K34" si="1">1+$E$10</f>
        <v>1.19</v>
      </c>
      <c r="R30"/>
      <c r="S30" s="114" t="s">
        <v>342</v>
      </c>
    </row>
    <row r="31" spans="2:41" ht="20.100000000000001" customHeight="1" x14ac:dyDescent="0.25">
      <c r="B31" s="106" t="s">
        <v>139</v>
      </c>
      <c r="C31" s="234"/>
      <c r="D31" s="399"/>
      <c r="E31" s="398">
        <v>135</v>
      </c>
      <c r="F31" s="233" t="s">
        <v>109</v>
      </c>
      <c r="G31" s="106" t="s">
        <v>98</v>
      </c>
      <c r="H31" s="122">
        <f>AH33*AI33+AJ33</f>
        <v>23.6</v>
      </c>
      <c r="I31" s="163">
        <f>IF($J$7="",H31,H31/K31)</f>
        <v>21.318879855465223</v>
      </c>
      <c r="J31" s="233" t="s">
        <v>156</v>
      </c>
      <c r="K31" s="98">
        <f>1+$E$9</f>
        <v>1.107</v>
      </c>
      <c r="R31"/>
      <c r="S31" s="114" t="s">
        <v>313</v>
      </c>
      <c r="AH31" s="259" t="s">
        <v>150</v>
      </c>
      <c r="AI31" s="260"/>
      <c r="AJ31" s="261"/>
    </row>
    <row r="32" spans="2:41" ht="20.100000000000001" customHeight="1" x14ac:dyDescent="0.25">
      <c r="B32" s="188" t="s">
        <v>125</v>
      </c>
      <c r="C32" s="222">
        <v>4</v>
      </c>
      <c r="D32" s="246" t="s">
        <v>141</v>
      </c>
      <c r="E32" s="216">
        <v>6</v>
      </c>
      <c r="F32" s="237" t="s">
        <v>68</v>
      </c>
      <c r="G32" s="219" t="s">
        <v>172</v>
      </c>
      <c r="H32" s="122">
        <v>10</v>
      </c>
      <c r="I32" s="163">
        <f>IF($J$7="",H32,H32/K32)</f>
        <v>8.4033613445378155</v>
      </c>
      <c r="J32" s="233" t="s">
        <v>156</v>
      </c>
      <c r="K32" s="98">
        <f t="shared" si="1"/>
        <v>1.19</v>
      </c>
      <c r="R32"/>
      <c r="S32" s="114" t="s">
        <v>314</v>
      </c>
      <c r="AH32" s="262" t="s">
        <v>152</v>
      </c>
      <c r="AI32" s="263" t="s">
        <v>151</v>
      </c>
      <c r="AJ32" s="258" t="s">
        <v>153</v>
      </c>
    </row>
    <row r="33" spans="1:38" ht="20.100000000000001" customHeight="1" thickBot="1" x14ac:dyDescent="0.3">
      <c r="B33" s="106" t="s">
        <v>121</v>
      </c>
      <c r="C33" s="190"/>
      <c r="D33" s="190"/>
      <c r="E33" s="161">
        <v>110</v>
      </c>
      <c r="F33" s="233" t="s">
        <v>140</v>
      </c>
      <c r="G33" s="106" t="s">
        <v>80</v>
      </c>
      <c r="H33" s="122">
        <v>5</v>
      </c>
      <c r="I33" s="163">
        <f>IF($J$7="",H33,H33/K33)</f>
        <v>4.2016806722689077</v>
      </c>
      <c r="J33" s="233" t="s">
        <v>156</v>
      </c>
      <c r="K33" s="98">
        <f>1+$E$10</f>
        <v>1.19</v>
      </c>
      <c r="R33"/>
      <c r="S33" s="114" t="s">
        <v>315</v>
      </c>
      <c r="AH33" s="264">
        <v>0.3</v>
      </c>
      <c r="AI33" s="266">
        <v>12</v>
      </c>
      <c r="AJ33" s="265">
        <v>20</v>
      </c>
    </row>
    <row r="34" spans="1:38" ht="20.100000000000001" customHeight="1" x14ac:dyDescent="0.25">
      <c r="B34" s="106" t="str">
        <f>"maßgebl. Neubaukosten/(inkl. Förderung" &amp;IF($J$6=""," ohne Mwst.)", " mit Mwst.)")</f>
        <v>maßgebl. Neubaukosten/(inkl. Förderung ohne Mwst.)</v>
      </c>
      <c r="C34" s="190"/>
      <c r="D34" s="190"/>
      <c r="E34" s="160">
        <f>IF($F$7="",E33*$K$10-E33*$I$10%,E33*$K$10)</f>
        <v>66</v>
      </c>
      <c r="F34" s="233" t="s">
        <v>140</v>
      </c>
      <c r="G34" s="106" t="s">
        <v>56</v>
      </c>
      <c r="H34" s="122">
        <v>10</v>
      </c>
      <c r="I34" s="163">
        <f>IF($J$7="",H34,H34/K34)</f>
        <v>8.4033613445378155</v>
      </c>
      <c r="J34" s="233" t="s">
        <v>156</v>
      </c>
      <c r="K34" s="98">
        <f t="shared" si="1"/>
        <v>1.19</v>
      </c>
      <c r="R34"/>
      <c r="S34" s="114" t="s">
        <v>343</v>
      </c>
    </row>
    <row r="35" spans="1:38" ht="20.100000000000001" customHeight="1" x14ac:dyDescent="0.25">
      <c r="B35" s="106" t="s">
        <v>270</v>
      </c>
      <c r="C35" s="234"/>
      <c r="D35" s="247"/>
      <c r="E35" s="164">
        <v>20</v>
      </c>
      <c r="F35" s="233" t="s">
        <v>4</v>
      </c>
      <c r="G35" s="191" t="s">
        <v>62</v>
      </c>
      <c r="H35" s="162">
        <v>1.4999999999999999E-2</v>
      </c>
      <c r="I35" s="177">
        <f>((E24+E25)*100)/2*$H$35</f>
        <v>8.6999999999999993</v>
      </c>
      <c r="J35" s="237" t="s">
        <v>156</v>
      </c>
      <c r="K35" s="98"/>
      <c r="R35" s="134"/>
    </row>
    <row r="36" spans="1:38" ht="20.100000000000001" customHeight="1" x14ac:dyDescent="0.25">
      <c r="B36" s="106" t="s">
        <v>271</v>
      </c>
      <c r="C36" s="234"/>
      <c r="D36" s="247"/>
      <c r="E36" s="91">
        <v>1</v>
      </c>
      <c r="F36" s="233" t="s">
        <v>1</v>
      </c>
      <c r="G36" s="192" t="s">
        <v>273</v>
      </c>
      <c r="H36" s="122">
        <v>50</v>
      </c>
      <c r="I36" s="176">
        <f>IF($J$7="",H36,H36/K36)</f>
        <v>42.016806722689076</v>
      </c>
      <c r="J36" s="233" t="s">
        <v>156</v>
      </c>
      <c r="K36" s="98">
        <f>1+$E$10</f>
        <v>1.19</v>
      </c>
      <c r="R36" s="134"/>
    </row>
    <row r="37" spans="1:38" ht="20.100000000000001" customHeight="1" x14ac:dyDescent="0.25">
      <c r="B37" s="219" t="s">
        <v>71</v>
      </c>
      <c r="C37" s="247"/>
      <c r="D37" s="247"/>
      <c r="E37" s="182">
        <v>250</v>
      </c>
      <c r="F37" s="248" t="s">
        <v>72</v>
      </c>
      <c r="G37" s="601" t="s">
        <v>110</v>
      </c>
      <c r="H37" s="602"/>
      <c r="I37" s="228">
        <v>45</v>
      </c>
      <c r="J37" s="249" t="s">
        <v>6</v>
      </c>
      <c r="R37" s="134"/>
      <c r="S37" s="430" t="s">
        <v>196</v>
      </c>
      <c r="T37" s="425"/>
      <c r="U37" s="425"/>
      <c r="V37" s="425"/>
      <c r="W37" s="425"/>
      <c r="X37" s="425"/>
      <c r="Y37" s="114" t="s">
        <v>318</v>
      </c>
    </row>
    <row r="38" spans="1:38" ht="20.100000000000001" customHeight="1" thickBot="1" x14ac:dyDescent="0.3">
      <c r="B38" s="393" t="s">
        <v>272</v>
      </c>
      <c r="C38" s="252"/>
      <c r="D38" s="252"/>
      <c r="E38" s="232">
        <v>4</v>
      </c>
      <c r="F38" s="394" t="s">
        <v>122</v>
      </c>
      <c r="G38" s="193" t="s">
        <v>113</v>
      </c>
      <c r="H38" s="252"/>
      <c r="I38" s="229">
        <f>(I20*C20+I21*C21+I22*C22)*1000/60</f>
        <v>1.4166666666666665</v>
      </c>
      <c r="J38" s="253" t="s">
        <v>6</v>
      </c>
      <c r="K38" s="98"/>
      <c r="R38" s="134"/>
      <c r="S38" s="114"/>
    </row>
    <row r="39" spans="1:38" ht="20.100000000000001" customHeight="1" x14ac:dyDescent="0.25">
      <c r="B39" s="267" t="s">
        <v>223</v>
      </c>
      <c r="C39" s="238"/>
      <c r="D39" s="238"/>
      <c r="E39" s="238"/>
      <c r="F39" s="238"/>
      <c r="G39" s="238"/>
      <c r="H39" s="238"/>
      <c r="I39" s="238"/>
      <c r="J39" s="254"/>
      <c r="K39" s="11"/>
      <c r="T39"/>
      <c r="U39"/>
      <c r="V39"/>
      <c r="W39"/>
      <c r="X39"/>
      <c r="Y39"/>
      <c r="Z39"/>
      <c r="AA39"/>
      <c r="AB39"/>
      <c r="AC39"/>
      <c r="AD39"/>
      <c r="AE39"/>
      <c r="AF39"/>
      <c r="AG39"/>
      <c r="AH39"/>
      <c r="AI39"/>
      <c r="AJ39"/>
      <c r="AK39"/>
      <c r="AL39"/>
    </row>
    <row r="40" spans="1:38" ht="7.5" customHeight="1" thickBot="1" x14ac:dyDescent="0.35">
      <c r="B40" s="255"/>
      <c r="C40" s="255"/>
      <c r="D40" s="255"/>
      <c r="E40" s="26"/>
      <c r="F40" s="256"/>
      <c r="G40" s="255"/>
      <c r="H40" s="257"/>
      <c r="I40" s="26"/>
      <c r="J40" s="256"/>
      <c r="K40" s="11"/>
      <c r="R40"/>
      <c r="S40"/>
      <c r="T40"/>
      <c r="U40"/>
      <c r="V40"/>
      <c r="W40"/>
      <c r="X40"/>
      <c r="Y40"/>
      <c r="Z40"/>
      <c r="AA40"/>
      <c r="AB40"/>
      <c r="AC40"/>
      <c r="AD40"/>
      <c r="AE40"/>
      <c r="AF40"/>
      <c r="AG40"/>
      <c r="AH40"/>
      <c r="AI40"/>
      <c r="AJ40"/>
      <c r="AK40"/>
      <c r="AL40"/>
    </row>
    <row r="41" spans="1:38" s="37" customFormat="1" ht="20.100000000000001" customHeight="1" x14ac:dyDescent="0.3">
      <c r="B41" s="270" t="s">
        <v>28</v>
      </c>
      <c r="C41" s="271"/>
      <c r="D41" s="271"/>
      <c r="E41" s="272"/>
      <c r="F41" s="273"/>
      <c r="G41" s="607" t="s">
        <v>115</v>
      </c>
      <c r="H41" s="608"/>
      <c r="I41" s="608"/>
      <c r="J41" s="609"/>
      <c r="K41" s="48"/>
      <c r="R41" s="34"/>
      <c r="S41" s="430" t="s">
        <v>352</v>
      </c>
      <c r="T41" s="430"/>
      <c r="U41" s="430"/>
      <c r="V41" s="430"/>
      <c r="W41" s="430"/>
      <c r="X41" s="430"/>
      <c r="Y41" s="430"/>
      <c r="Z41" s="430"/>
      <c r="AA41" s="430"/>
      <c r="AB41" s="430"/>
      <c r="AC41" s="430"/>
      <c r="AD41" s="430"/>
      <c r="AE41" s="430"/>
      <c r="AF41" s="430"/>
      <c r="AG41" s="430"/>
      <c r="AH41" s="430"/>
      <c r="AI41" s="430"/>
      <c r="AJ41" s="430"/>
      <c r="AK41" s="430"/>
    </row>
    <row r="42" spans="1:38" s="37" customFormat="1" ht="29.25" customHeight="1" thickBot="1" x14ac:dyDescent="0.35">
      <c r="B42" s="274" t="str">
        <f>IF($J$7="",$I$6,$I$7)</f>
        <v xml:space="preserve">Regelbesteuerung </v>
      </c>
      <c r="C42" s="275" t="str">
        <f>IF($F$7="","mit Inv.förderung","ohne Inv.Förderung")</f>
        <v>mit Inv.förderung</v>
      </c>
      <c r="D42" s="275"/>
      <c r="E42" s="276">
        <f>IF($F$6=0," ",$I$10/100)</f>
        <v>0.4</v>
      </c>
      <c r="F42" s="277"/>
      <c r="G42" s="278">
        <v>0.75</v>
      </c>
      <c r="H42" s="278">
        <v>0.8</v>
      </c>
      <c r="I42" s="697">
        <v>0.85</v>
      </c>
      <c r="J42" s="698"/>
      <c r="K42" s="48"/>
      <c r="R42" s="36"/>
      <c r="S42" s="114" t="s">
        <v>319</v>
      </c>
    </row>
    <row r="43" spans="1:38" s="37" customFormat="1" ht="20.100000000000001" customHeight="1" x14ac:dyDescent="0.3">
      <c r="B43" s="279" t="s">
        <v>105</v>
      </c>
      <c r="C43" s="271"/>
      <c r="D43" s="280"/>
      <c r="E43" s="281"/>
      <c r="F43" s="282" t="s">
        <v>107</v>
      </c>
      <c r="G43" s="283">
        <v>20</v>
      </c>
      <c r="H43" s="284">
        <v>20</v>
      </c>
      <c r="I43" s="628">
        <v>20</v>
      </c>
      <c r="J43" s="629"/>
      <c r="K43" s="48"/>
      <c r="L43" s="61"/>
      <c r="M43" s="41"/>
      <c r="N43" s="41"/>
      <c r="O43" s="62"/>
      <c r="P43" s="181"/>
      <c r="Q43" s="34"/>
      <c r="R43" s="36"/>
      <c r="S43" s="114" t="s">
        <v>320</v>
      </c>
    </row>
    <row r="44" spans="1:38" s="37" customFormat="1" ht="20.100000000000001" customHeight="1" x14ac:dyDescent="0.3">
      <c r="B44" s="279" t="s">
        <v>111</v>
      </c>
      <c r="C44" s="285"/>
      <c r="D44" s="285"/>
      <c r="E44" s="286"/>
      <c r="F44" s="287" t="s">
        <v>107</v>
      </c>
      <c r="G44" s="288">
        <f>$E$28*30.4-G43-$E$29</f>
        <v>330.79999999999995</v>
      </c>
      <c r="H44" s="289">
        <f>$E$28*30.4-H43-$E$29</f>
        <v>330.79999999999995</v>
      </c>
      <c r="I44" s="610">
        <f>$E$28*30.4-I43-$E$29</f>
        <v>330.79999999999995</v>
      </c>
      <c r="J44" s="611">
        <f>$E$28*30.4-J43-$E$29</f>
        <v>350.79999999999995</v>
      </c>
      <c r="K44" s="48"/>
      <c r="L44" s="61"/>
      <c r="M44" s="41"/>
      <c r="N44" s="41"/>
      <c r="O44" s="62"/>
      <c r="P44" s="181"/>
      <c r="Q44" s="34"/>
      <c r="R44" s="36"/>
      <c r="S44" s="114"/>
    </row>
    <row r="45" spans="1:38" s="37" customFormat="1" ht="20.100000000000001" customHeight="1" x14ac:dyDescent="0.3">
      <c r="B45" s="279" t="s">
        <v>207</v>
      </c>
      <c r="C45" s="285"/>
      <c r="D45" s="285"/>
      <c r="E45" s="286"/>
      <c r="F45" s="287" t="s">
        <v>112</v>
      </c>
      <c r="G45" s="288">
        <f>G42*G44-((G42*G44)*$E$26/2)</f>
        <v>233.21399999999997</v>
      </c>
      <c r="H45" s="289">
        <f>H42*H44-((H42*H44)*$E$26/2)</f>
        <v>248.76159999999999</v>
      </c>
      <c r="I45" s="610">
        <f>I42*I44-((I42*I44)*$E$26/2)</f>
        <v>264.30919999999998</v>
      </c>
      <c r="J45" s="611">
        <f>J42*J44-((J42*J44)*$E$26/2)</f>
        <v>0</v>
      </c>
      <c r="K45" s="48"/>
      <c r="L45" s="61"/>
      <c r="M45" s="41"/>
      <c r="N45" s="41"/>
      <c r="O45" s="62"/>
      <c r="P45" s="181"/>
      <c r="Q45" s="34"/>
      <c r="R45" s="36"/>
      <c r="S45" s="114" t="s">
        <v>321</v>
      </c>
    </row>
    <row r="46" spans="1:38" s="37" customFormat="1" ht="20.100000000000001" customHeight="1" x14ac:dyDescent="0.3">
      <c r="A46" s="221"/>
      <c r="B46" s="290" t="s">
        <v>208</v>
      </c>
      <c r="C46" s="291"/>
      <c r="D46" s="291"/>
      <c r="E46" s="292"/>
      <c r="F46" s="293" t="s">
        <v>112</v>
      </c>
      <c r="G46" s="294">
        <f>G45-(G45*$C$27)</f>
        <v>223.88543999999996</v>
      </c>
      <c r="H46" s="295">
        <f>H45-(H45*$C$27)</f>
        <v>238.81113599999998</v>
      </c>
      <c r="I46" s="699">
        <f>I45-(I45*$C$27)</f>
        <v>253.73683199999996</v>
      </c>
      <c r="J46" s="700"/>
      <c r="K46" s="48"/>
      <c r="L46" s="61"/>
      <c r="M46" s="41"/>
      <c r="N46" s="41"/>
      <c r="O46" s="62"/>
      <c r="P46" s="181"/>
      <c r="Q46" s="34"/>
      <c r="R46" s="36"/>
      <c r="S46" s="114" t="s">
        <v>322</v>
      </c>
    </row>
    <row r="47" spans="1:38" ht="20.100000000000001" customHeight="1" x14ac:dyDescent="0.25">
      <c r="B47" s="296" t="str">
        <f>"Eierpreis A-Ware Ø aus allen Vermarktugsformen"&amp;IF($J$7=""," (inkl. 10,7 % Mwst.)"," (ohne Mwst.)")</f>
        <v>Eierpreis A-Ware Ø aus allen Vermarktugsformen (ohne Mwst.)</v>
      </c>
      <c r="C47" s="297"/>
      <c r="D47" s="297"/>
      <c r="E47" s="298"/>
      <c r="F47" s="299" t="s">
        <v>293</v>
      </c>
      <c r="G47" s="300">
        <f>E23*$K$9</f>
        <v>24.700000000000003</v>
      </c>
      <c r="H47" s="301">
        <f>E23*$K$9</f>
        <v>24.700000000000003</v>
      </c>
      <c r="I47" s="691">
        <f>E23*$K$9</f>
        <v>24.700000000000003</v>
      </c>
      <c r="J47" s="692"/>
      <c r="K47" s="11"/>
      <c r="L47" s="15"/>
      <c r="M47" s="58"/>
      <c r="N47" s="58"/>
      <c r="O47" s="59"/>
      <c r="P47" s="180"/>
      <c r="Q47" s="36"/>
      <c r="R47" s="2"/>
      <c r="S47" s="112"/>
    </row>
    <row r="48" spans="1:38" ht="20.100000000000001" customHeight="1" x14ac:dyDescent="0.25">
      <c r="B48" s="279" t="str">
        <f>"Erlös vermarktete Eier je 100 eingestallter Hennen"&amp;IF($J$7=""," (inkl. 10,7 % Mwst.)"," (ohne Mwst.)")</f>
        <v>Erlös vermarktete Eier je 100 eingestallter Hennen (ohne Mwst.)</v>
      </c>
      <c r="C48" s="302"/>
      <c r="D48" s="302"/>
      <c r="E48" s="303"/>
      <c r="F48" s="304" t="s">
        <v>9</v>
      </c>
      <c r="G48" s="305">
        <f>G46*G47/100*100</f>
        <v>5529.9703679999993</v>
      </c>
      <c r="H48" s="305">
        <f>H46*H47/100*100</f>
        <v>5898.6350591999999</v>
      </c>
      <c r="I48" s="622">
        <f t="shared" ref="I48:J48" si="2">I46*I47/100*100</f>
        <v>6267.2997503999995</v>
      </c>
      <c r="J48" s="623">
        <f t="shared" si="2"/>
        <v>0</v>
      </c>
      <c r="K48" s="13"/>
      <c r="S48" s="112"/>
    </row>
    <row r="49" spans="2:27" ht="20.100000000000001" customHeight="1" x14ac:dyDescent="0.25">
      <c r="B49" s="279" t="str">
        <f>"Erlös Knickeier je 100 eingestallter Hennen"&amp;IF($J$7=""," (inkl. 10,7 % Mwst.)"," (ohne Mwst.)")</f>
        <v>Erlös Knickeier je 100 eingestallter Hennen (ohne Mwst.)</v>
      </c>
      <c r="C49" s="302"/>
      <c r="D49" s="302"/>
      <c r="E49" s="303"/>
      <c r="F49" s="304" t="s">
        <v>9</v>
      </c>
      <c r="G49" s="305">
        <f>G45*100*$C$27*$E$27/100</f>
        <v>74.628479999999996</v>
      </c>
      <c r="H49" s="305">
        <f>H45*100*$C$27*$E$27/100</f>
        <v>79.603712000000002</v>
      </c>
      <c r="I49" s="622">
        <f>I45*100*$C$27*$E$27/100</f>
        <v>84.578943999999993</v>
      </c>
      <c r="J49" s="623"/>
      <c r="K49" s="13"/>
      <c r="S49" s="112"/>
    </row>
    <row r="50" spans="2:27" ht="20.100000000000001" customHeight="1" x14ac:dyDescent="0.25">
      <c r="B50" s="279" t="str">
        <f>"Alttiererlös nach Hennenverlusten"&amp;IF($J$7=""," (inkl. 10,7 % Mwst.)"," (ohne Mwst.)")</f>
        <v>Alttiererlös nach Hennenverlusten (ohne Mwst.)</v>
      </c>
      <c r="C50" s="302"/>
      <c r="D50" s="302"/>
      <c r="E50" s="303"/>
      <c r="F50" s="304" t="s">
        <v>9</v>
      </c>
      <c r="G50" s="306">
        <f>$E$25*100*(1-$E$26)*$K$9</f>
        <v>88</v>
      </c>
      <c r="H50" s="306">
        <f>$E$25*100*(1-$E$26)*$K$9</f>
        <v>88</v>
      </c>
      <c r="I50" s="693">
        <f>$E$25*100*(1-$E$26)*$K$9</f>
        <v>88</v>
      </c>
      <c r="J50" s="694"/>
      <c r="K50" s="13"/>
      <c r="L50" s="13"/>
      <c r="M50" s="47"/>
      <c r="N50" s="47"/>
      <c r="O50" s="66"/>
      <c r="P50" s="66"/>
      <c r="Q50" s="66"/>
      <c r="R50" s="66"/>
      <c r="S50" s="112"/>
    </row>
    <row r="51" spans="2:27" ht="20.100000000000001" customHeight="1" x14ac:dyDescent="0.25">
      <c r="B51" s="279" t="str">
        <f>"Düngerwert"&amp;IF($J$7=""," (inkl. 19 % Mwst.)"," (ohne Mwst.)")</f>
        <v>Düngerwert (ohne Mwst.)</v>
      </c>
      <c r="C51" s="302"/>
      <c r="D51" s="302"/>
      <c r="E51" s="303"/>
      <c r="F51" s="304" t="s">
        <v>9</v>
      </c>
      <c r="G51" s="307">
        <f>((($I$23*$I$24)/$I$25)-(($I$23*$I$24)/$I$25)*$E$26%/2)*$K$10</f>
        <v>202.22930956800002</v>
      </c>
      <c r="H51" s="307">
        <f>((($I$23*$I$24)/$I$25)-(($I$23*$I$24)/$I$25)*$E$26%/2)*$K$10</f>
        <v>202.22930956800002</v>
      </c>
      <c r="I51" s="620">
        <f>((($I$23*$I$24)/$I$25)-(($I$23*$I$24)/$I$25)*$E$26%/2)*$K$10</f>
        <v>202.22930956800002</v>
      </c>
      <c r="J51" s="621">
        <f>((($I$23*$I$24)/$I$25)-(($I$23*$I$24)/$I$25)*$E$26%/2)*$K$10</f>
        <v>202.22930956800002</v>
      </c>
      <c r="K51" s="13"/>
      <c r="L51" s="13"/>
      <c r="M51" s="47"/>
      <c r="N51" s="47"/>
      <c r="O51" s="65"/>
      <c r="P51" s="65"/>
      <c r="Q51" s="139"/>
      <c r="R51" s="67"/>
      <c r="S51" s="114"/>
    </row>
    <row r="52" spans="2:27" s="44" customFormat="1" ht="20.100000000000001" customHeight="1" x14ac:dyDescent="0.35">
      <c r="B52" s="308" t="str">
        <f>"Summe Leistung (inkl. Düngerwert)"&amp;IF($J$7=""," (brutto)"," (netto) ")</f>
        <v xml:space="preserve">Summe Leistung (inkl. Düngerwert) (netto) </v>
      </c>
      <c r="C52" s="309"/>
      <c r="D52" s="309"/>
      <c r="E52" s="310" t="s">
        <v>180</v>
      </c>
      <c r="F52" s="311" t="s">
        <v>9</v>
      </c>
      <c r="G52" s="312">
        <f>G48+G49+G50+G51</f>
        <v>5894.8281575679994</v>
      </c>
      <c r="H52" s="312">
        <f>H48+H49+H50+H51</f>
        <v>6268.4680807679997</v>
      </c>
      <c r="I52" s="599">
        <f>I48+I49+I50+I51</f>
        <v>6642.1080039679991</v>
      </c>
      <c r="J52" s="600">
        <f t="shared" ref="J52" si="3">J48+J49+J50+J51</f>
        <v>202.22930956800002</v>
      </c>
      <c r="K52" s="43"/>
      <c r="L52" s="13"/>
      <c r="M52" s="47"/>
      <c r="N52" s="47"/>
      <c r="O52" s="65"/>
      <c r="P52" s="65"/>
      <c r="Q52" s="139"/>
      <c r="R52" s="67"/>
      <c r="S52" s="114"/>
      <c r="T52" s="45"/>
      <c r="U52" s="45"/>
      <c r="V52" s="45"/>
      <c r="W52" s="45"/>
      <c r="X52" s="45"/>
      <c r="Y52" s="45"/>
      <c r="Z52" s="45"/>
      <c r="AA52" s="45"/>
    </row>
    <row r="53" spans="2:27" s="44" customFormat="1" ht="20.100000000000001" customHeight="1" x14ac:dyDescent="0.35">
      <c r="B53" s="279" t="s">
        <v>209</v>
      </c>
      <c r="C53" s="302"/>
      <c r="D53" s="302"/>
      <c r="E53" s="303"/>
      <c r="F53" s="304" t="s">
        <v>5</v>
      </c>
      <c r="G53" s="313">
        <f>$E$31/100000*(100-(100*$E$26)/2)*($E$28*30.4-$E$29)</f>
        <v>44.51652</v>
      </c>
      <c r="H53" s="313">
        <f>$E$31/100000*(100-(100*$E$26)/2)*($E$28*30.4-$E$29)</f>
        <v>44.51652</v>
      </c>
      <c r="I53" s="679">
        <f t="shared" ref="I53:J53" si="4">$E$31/100000*(100-(100*$E$26)/2)*($E$28*30.4-$E$29)</f>
        <v>44.51652</v>
      </c>
      <c r="J53" s="680">
        <f t="shared" si="4"/>
        <v>44.51652</v>
      </c>
      <c r="K53" s="43"/>
      <c r="L53" s="13"/>
      <c r="M53" s="47"/>
      <c r="N53" s="47"/>
      <c r="O53" s="65"/>
      <c r="P53" s="65"/>
      <c r="Q53" s="139"/>
      <c r="R53" s="67"/>
      <c r="S53" s="114" t="s">
        <v>178</v>
      </c>
      <c r="T53" s="45"/>
      <c r="U53" s="45"/>
      <c r="V53" s="45"/>
      <c r="W53" s="45"/>
      <c r="X53" s="45"/>
      <c r="Y53" s="45"/>
      <c r="Z53" s="45"/>
      <c r="AA53" s="45"/>
    </row>
    <row r="54" spans="2:27" s="44" customFormat="1" ht="20.100000000000001" customHeight="1" x14ac:dyDescent="0.35">
      <c r="B54" s="314" t="s">
        <v>214</v>
      </c>
      <c r="C54" s="315"/>
      <c r="D54" s="315"/>
      <c r="E54" s="316"/>
      <c r="F54" s="317" t="s">
        <v>5</v>
      </c>
      <c r="G54" s="318">
        <f>$C$32/100*100/I25</f>
        <v>4</v>
      </c>
      <c r="H54" s="318">
        <f>$C$32/100*100/I25</f>
        <v>4</v>
      </c>
      <c r="I54" s="687">
        <f>$C$32/100*100/I25</f>
        <v>4</v>
      </c>
      <c r="J54" s="688">
        <f>$C$32*100</f>
        <v>400</v>
      </c>
      <c r="K54" s="43"/>
      <c r="L54" s="13"/>
      <c r="M54" s="47"/>
      <c r="N54" s="47"/>
      <c r="O54" s="65"/>
      <c r="P54" s="65"/>
      <c r="Q54" s="139"/>
      <c r="R54" s="67"/>
      <c r="S54" s="114"/>
      <c r="T54" s="45"/>
      <c r="U54" s="45"/>
      <c r="V54" s="45"/>
      <c r="W54" s="45"/>
      <c r="X54" s="45"/>
      <c r="Y54" s="45"/>
      <c r="Z54" s="45"/>
      <c r="AA54" s="45"/>
    </row>
    <row r="55" spans="2:27" s="44" customFormat="1" ht="20.100000000000001" customHeight="1" x14ac:dyDescent="0.35">
      <c r="B55" s="279" t="str">
        <f>"Futterkosten gesamt je Durchgang"&amp;IF($J$7=""," (inkl.7 % Mwst.)"," (ohne Mwst.)")</f>
        <v>Futterkosten gesamt je Durchgang (ohne Mwst.)</v>
      </c>
      <c r="C55" s="302"/>
      <c r="D55" s="302"/>
      <c r="E55" s="303"/>
      <c r="F55" s="304" t="s">
        <v>9</v>
      </c>
      <c r="G55" s="305">
        <f>G53*$E$30*$K$11+G54*$E$32*$K$11</f>
        <v>2583.6999000000001</v>
      </c>
      <c r="H55" s="305">
        <f>H53*$E$30*$K$11+H54*$E$32*$K$11</f>
        <v>2583.6999000000001</v>
      </c>
      <c r="I55" s="673">
        <f>I53*$E$30*$K$11+I54*$E$32*$K$11</f>
        <v>2583.6999000000001</v>
      </c>
      <c r="J55" s="674">
        <f>J53*$E$30*$K$11+J54*$E$32*$K$11</f>
        <v>4959.6998999999996</v>
      </c>
      <c r="K55" s="43"/>
      <c r="L55" s="13"/>
      <c r="M55" s="47"/>
      <c r="N55" s="47"/>
      <c r="O55" s="65"/>
      <c r="P55" s="65"/>
      <c r="Q55" s="139"/>
      <c r="R55" s="67"/>
      <c r="S55" s="114"/>
      <c r="T55" s="45"/>
      <c r="U55" s="45"/>
      <c r="V55" s="45"/>
      <c r="W55" s="45"/>
      <c r="X55" s="45"/>
      <c r="Y55" s="45"/>
      <c r="Z55" s="45"/>
      <c r="AA55" s="45"/>
    </row>
    <row r="56" spans="2:27" ht="20.100000000000001" customHeight="1" x14ac:dyDescent="0.3">
      <c r="B56" s="279" t="str">
        <f>"Kosten Jungtiere"&amp;IF(J7=""," (inkl. 7 % Mwst.)","")</f>
        <v>Kosten Jungtiere</v>
      </c>
      <c r="C56" s="302"/>
      <c r="D56" s="302"/>
      <c r="E56" s="303"/>
      <c r="F56" s="304" t="s">
        <v>9</v>
      </c>
      <c r="G56" s="305">
        <f>$E$24*$K$11*100</f>
        <v>1060</v>
      </c>
      <c r="H56" s="305">
        <f>$E$24*$K$11*100</f>
        <v>1060</v>
      </c>
      <c r="I56" s="622">
        <f>$E$24*$K$11*100</f>
        <v>1060</v>
      </c>
      <c r="J56" s="623"/>
      <c r="L56" s="64"/>
      <c r="M56" s="41"/>
      <c r="N56" s="41"/>
      <c r="O56" s="63"/>
      <c r="P56" s="63"/>
      <c r="Q56" s="139"/>
      <c r="R56" s="67"/>
      <c r="S56" s="114"/>
    </row>
    <row r="57" spans="2:27" ht="20.100000000000001" customHeight="1" x14ac:dyDescent="0.3">
      <c r="B57" s="279" t="str">
        <f>"Sonstige variable Kosten je Durchgang"&amp;IF($J$7=""," (brutto)"," (netto)")&amp;" inkl. Zinsansatz"</f>
        <v>Sonstige variable Kosten je Durchgang (netto) inkl. Zinsansatz</v>
      </c>
      <c r="C57" s="302"/>
      <c r="D57" s="302"/>
      <c r="E57" s="303"/>
      <c r="F57" s="304" t="s">
        <v>9</v>
      </c>
      <c r="G57" s="307">
        <f>$I$26/$I$25</f>
        <v>193.38887826133163</v>
      </c>
      <c r="H57" s="307">
        <f>$I$26/$I$25</f>
        <v>193.38887826133163</v>
      </c>
      <c r="I57" s="620">
        <f>$I$26/$I$25</f>
        <v>193.38887826133163</v>
      </c>
      <c r="J57" s="621">
        <f>$I$26/$I$25</f>
        <v>193.38887826133163</v>
      </c>
      <c r="L57" s="64"/>
      <c r="M57" s="41"/>
      <c r="N57" s="41"/>
      <c r="O57" s="63"/>
      <c r="P57" s="63"/>
      <c r="Q57" s="139"/>
      <c r="R57" s="67"/>
      <c r="S57" s="114"/>
    </row>
    <row r="58" spans="2:27" ht="20.100000000000001" customHeight="1" x14ac:dyDescent="0.3">
      <c r="B58" s="279" t="str">
        <f>"Vermarktung je Durchgang"&amp;IF($J$7=""," (inkl. 19 % Mwst.)"," (ohne Mwst.)")</f>
        <v>Vermarktung je Durchgang (ohne Mwst.)</v>
      </c>
      <c r="C58" s="302"/>
      <c r="D58" s="302"/>
      <c r="E58" s="303"/>
      <c r="F58" s="304" t="s">
        <v>9</v>
      </c>
      <c r="G58" s="307">
        <f>100*(G45*$C$20*$G$20/100+G45*$C$21*$G$21/100+G45*$C$22*$G$22/100)*$K$10</f>
        <v>349.82099999999997</v>
      </c>
      <c r="H58" s="307">
        <f>100*(H45*$C$20*$G$20/100+H45*$C$21*$G$21/100+H45*$C$22*$G$22/100)*$K$10</f>
        <v>373.14240000000001</v>
      </c>
      <c r="I58" s="620">
        <f>100*(I45*$C$20*$G$20/100+I45*$C$21*$G$21/100+I45*$C$22*$G$22/100)*$K$10</f>
        <v>396.46380000000005</v>
      </c>
      <c r="J58" s="621">
        <f t="shared" ref="J58" si="5">100*(J45*$C$20*$G$20/100+J45*$C$21*$G$21/100+J45*$C$22*$G$22/100)*$K$10</f>
        <v>0</v>
      </c>
      <c r="L58" s="64"/>
      <c r="M58" s="41"/>
      <c r="N58" s="41"/>
      <c r="O58" s="63"/>
      <c r="P58" s="63"/>
      <c r="Q58" s="139"/>
      <c r="R58" s="67"/>
      <c r="S58" s="114" t="s">
        <v>323</v>
      </c>
    </row>
    <row r="59" spans="2:27" s="44" customFormat="1" ht="20.100000000000001" customHeight="1" x14ac:dyDescent="0.35">
      <c r="B59" s="290" t="str">
        <f>"Summe variable Kosten"&amp;IF($J$7=""," (brutto)"," (netto) ")</f>
        <v xml:space="preserve">Summe variable Kosten (netto) </v>
      </c>
      <c r="C59" s="319"/>
      <c r="D59" s="319"/>
      <c r="E59" s="320" t="s">
        <v>134</v>
      </c>
      <c r="F59" s="321" t="s">
        <v>9</v>
      </c>
      <c r="G59" s="322">
        <f>SUM(G55:G58)</f>
        <v>4186.9097782613317</v>
      </c>
      <c r="H59" s="322">
        <f>SUM(H55:H58)</f>
        <v>4210.2311782613315</v>
      </c>
      <c r="I59" s="618">
        <f>I55+I56+I57+I58</f>
        <v>4233.5525782613322</v>
      </c>
      <c r="J59" s="619"/>
      <c r="K59" s="46"/>
      <c r="L59" s="46"/>
      <c r="M59" s="45"/>
      <c r="N59" s="45"/>
      <c r="O59" s="45"/>
      <c r="P59" s="45"/>
      <c r="Q59" s="45"/>
      <c r="R59" s="45"/>
      <c r="S59" s="224"/>
      <c r="T59" s="45"/>
      <c r="U59" s="45"/>
    </row>
    <row r="60" spans="2:27" s="44" customFormat="1" ht="20.100000000000001" customHeight="1" x14ac:dyDescent="0.35">
      <c r="B60" s="290"/>
      <c r="C60" s="302"/>
      <c r="D60" s="319"/>
      <c r="E60" s="320" t="s">
        <v>155</v>
      </c>
      <c r="F60" s="321" t="s">
        <v>9</v>
      </c>
      <c r="G60" s="323">
        <f>G59/100/G46</f>
        <v>0.18701125800147309</v>
      </c>
      <c r="H60" s="323">
        <f>H59/100/H46</f>
        <v>0.17629961687638099</v>
      </c>
      <c r="I60" s="669">
        <f t="shared" ref="I60:J60" si="6">I59/100/I46</f>
        <v>0.16684816882482922</v>
      </c>
      <c r="J60" s="670" t="e">
        <f t="shared" si="6"/>
        <v>#DIV/0!</v>
      </c>
      <c r="K60" s="46"/>
      <c r="L60" s="46"/>
      <c r="M60" s="45"/>
      <c r="N60" s="45"/>
      <c r="O60" s="45"/>
      <c r="P60" s="45"/>
      <c r="Q60" s="45"/>
      <c r="R60" s="45"/>
      <c r="S60" s="224"/>
      <c r="T60" s="45"/>
      <c r="U60" s="45"/>
    </row>
    <row r="61" spans="2:27" s="37" customFormat="1" ht="20.100000000000001" customHeight="1" x14ac:dyDescent="0.3">
      <c r="B61" s="344" t="s">
        <v>133</v>
      </c>
      <c r="C61" s="444"/>
      <c r="D61" s="345"/>
      <c r="E61" s="445" t="s">
        <v>134</v>
      </c>
      <c r="F61" s="347" t="s">
        <v>9</v>
      </c>
      <c r="G61" s="348">
        <f>G52-G59</f>
        <v>1707.9183793066677</v>
      </c>
      <c r="H61" s="348">
        <f>H52-H59</f>
        <v>2058.2369025066682</v>
      </c>
      <c r="I61" s="616">
        <f>I52-I59</f>
        <v>2408.5554257066669</v>
      </c>
      <c r="J61" s="617"/>
      <c r="K61" s="48"/>
      <c r="L61" s="48"/>
      <c r="M61" s="34"/>
      <c r="N61" s="34"/>
      <c r="O61" s="34"/>
      <c r="P61" s="34"/>
      <c r="Q61" s="34"/>
      <c r="R61" s="34"/>
      <c r="S61" s="225" t="s">
        <v>324</v>
      </c>
      <c r="T61" s="34"/>
      <c r="U61" s="34"/>
    </row>
    <row r="62" spans="2:27" s="37" customFormat="1" ht="20.100000000000001" customHeight="1" x14ac:dyDescent="0.3">
      <c r="B62" s="349"/>
      <c r="C62" s="350"/>
      <c r="D62" s="350"/>
      <c r="E62" s="340" t="s">
        <v>135</v>
      </c>
      <c r="F62" s="341" t="s">
        <v>9</v>
      </c>
      <c r="G62" s="369">
        <f>G61*$I$25</f>
        <v>1707.9183793066677</v>
      </c>
      <c r="H62" s="369">
        <f>H61*$I$25</f>
        <v>2058.2369025066682</v>
      </c>
      <c r="I62" s="624">
        <f>I61*$I$25</f>
        <v>2408.5554257066669</v>
      </c>
      <c r="J62" s="625"/>
      <c r="K62" s="48"/>
      <c r="L62" s="48"/>
      <c r="M62" s="34"/>
      <c r="N62" s="34"/>
      <c r="O62" s="34"/>
      <c r="P62" s="34"/>
      <c r="Q62" s="34"/>
      <c r="R62" s="34"/>
      <c r="S62" s="225"/>
      <c r="T62" s="34"/>
      <c r="U62" s="34"/>
    </row>
    <row r="63" spans="2:27" s="44" customFormat="1" ht="20.100000000000001" customHeight="1" x14ac:dyDescent="0.35">
      <c r="B63" s="328" t="s">
        <v>225</v>
      </c>
      <c r="C63" s="329"/>
      <c r="D63" s="329"/>
      <c r="E63" s="330"/>
      <c r="F63" s="331" t="s">
        <v>1</v>
      </c>
      <c r="G63" s="332">
        <f>G61/(G64+G65+G66+G72)</f>
        <v>0.95997109879737108</v>
      </c>
      <c r="H63" s="332">
        <f>H61/(H64+H65+H66+H72)</f>
        <v>1.1344045616056464</v>
      </c>
      <c r="I63" s="671">
        <f t="shared" ref="I63:J63" si="7">I61/(I64+I65+I66+I72)</f>
        <v>1.3021909758548234</v>
      </c>
      <c r="J63" s="672">
        <f t="shared" si="7"/>
        <v>0</v>
      </c>
      <c r="K63" s="46"/>
      <c r="L63" s="46"/>
      <c r="M63" s="45"/>
      <c r="N63" s="45"/>
      <c r="O63" s="45"/>
      <c r="P63" s="45"/>
      <c r="Q63" s="45"/>
      <c r="R63" s="45"/>
      <c r="S63" s="224"/>
      <c r="T63" s="45"/>
      <c r="U63" s="45"/>
    </row>
    <row r="64" spans="2:27" ht="20.100000000000001" customHeight="1" x14ac:dyDescent="0.25">
      <c r="B64" s="279" t="str">
        <f>"Festkosten Stall"&amp;IF($J$7=""," (inkl. 19 % Mwst.)","")</f>
        <v>Festkosten Stall</v>
      </c>
      <c r="D64" s="333"/>
      <c r="E64" s="334" t="str">
        <f>"(entsprechen "&amp;100/$E$35+$E$36+$I$9/2&amp;" % der Inv.kosten)"</f>
        <v>(entsprechen 7,25 % der Inv.kosten)</v>
      </c>
      <c r="F64" s="304" t="s">
        <v>9</v>
      </c>
      <c r="G64" s="305">
        <f>($E$34*100/$I$25)*$K$64/100</f>
        <v>478.5</v>
      </c>
      <c r="H64" s="305">
        <f>($E$34*100/$I$25)*$K$64/100</f>
        <v>478.5</v>
      </c>
      <c r="I64" s="673">
        <f>($E$34*100/$I$25)*$K$64/100</f>
        <v>478.5</v>
      </c>
      <c r="J64" s="674">
        <f>($E$34*100/$I$25)*$K$64/100</f>
        <v>478.5</v>
      </c>
      <c r="K64" s="197">
        <f>100/$E$35+$E$36+$I$9/2</f>
        <v>7.25</v>
      </c>
      <c r="L64" s="198"/>
      <c r="M64"/>
      <c r="N64"/>
      <c r="O64"/>
      <c r="P64"/>
      <c r="Q64"/>
      <c r="R64"/>
      <c r="S64" s="112"/>
      <c r="T64"/>
      <c r="U64"/>
    </row>
    <row r="65" spans="2:25" ht="20.100000000000001" customHeight="1" x14ac:dyDescent="0.3">
      <c r="B65" s="279" t="s">
        <v>78</v>
      </c>
      <c r="C65" s="335"/>
      <c r="D65" s="335"/>
      <c r="E65" s="336"/>
      <c r="F65" s="304" t="s">
        <v>9</v>
      </c>
      <c r="G65" s="305">
        <f>($E$37*$E$38/10000)/$I$25*100</f>
        <v>10</v>
      </c>
      <c r="H65" s="305">
        <f>($E$37*$E$38/10000)/$I$25*100</f>
        <v>10</v>
      </c>
      <c r="I65" s="622">
        <f>($E$37*$E$38/10000)/$I$25*100</f>
        <v>10</v>
      </c>
      <c r="J65" s="623">
        <f>($E$37*$E$38/10000)/$I$25*100</f>
        <v>10</v>
      </c>
      <c r="K65" s="48"/>
      <c r="L65" s="11"/>
      <c r="M65"/>
      <c r="N65"/>
      <c r="O65"/>
      <c r="P65"/>
      <c r="Q65"/>
      <c r="R65"/>
      <c r="S65" s="112"/>
      <c r="T65"/>
      <c r="U65"/>
    </row>
    <row r="66" spans="2:25" ht="20.100000000000001" customHeight="1" x14ac:dyDescent="0.25">
      <c r="B66" s="279" t="str">
        <f>"Gemeinkosten"&amp;IF($J$7=""," (inkl. 19 % Mwst.)"," (ohne Mwst.)")</f>
        <v>Gemeinkosten (ohne Mwst.)</v>
      </c>
      <c r="C66" s="302"/>
      <c r="D66" s="302"/>
      <c r="E66" s="303"/>
      <c r="F66" s="304" t="s">
        <v>9</v>
      </c>
      <c r="G66" s="307">
        <f>H66</f>
        <v>42.016806722689076</v>
      </c>
      <c r="H66" s="307">
        <f>$I$36/$I$25</f>
        <v>42.016806722689076</v>
      </c>
      <c r="I66" s="620">
        <f>H66</f>
        <v>42.016806722689076</v>
      </c>
      <c r="J66" s="621"/>
      <c r="K66" s="11"/>
      <c r="L66" s="11"/>
      <c r="M66"/>
      <c r="N66"/>
      <c r="O66"/>
      <c r="P66"/>
      <c r="Q66"/>
      <c r="R66"/>
      <c r="S66" s="112"/>
      <c r="T66"/>
      <c r="U66"/>
    </row>
    <row r="67" spans="2:25" ht="20.100000000000001" customHeight="1" x14ac:dyDescent="0.25">
      <c r="B67" s="308" t="str">
        <f>"Summe Fest- und Gemeinkosten"&amp;IF($J$7=""," (brutto)"," (netto) ")</f>
        <v xml:space="preserve">Summe Fest- und Gemeinkosten (netto) </v>
      </c>
      <c r="C67" s="309"/>
      <c r="D67" s="309"/>
      <c r="E67" s="310" t="s">
        <v>134</v>
      </c>
      <c r="F67" s="311" t="s">
        <v>9</v>
      </c>
      <c r="G67" s="312">
        <f>SUM(G64:G66)</f>
        <v>530.51680672268913</v>
      </c>
      <c r="H67" s="312">
        <f>SUM(H64:H66)</f>
        <v>530.51680672268913</v>
      </c>
      <c r="I67" s="599">
        <f>SUM(I64:I66)</f>
        <v>530.51680672268913</v>
      </c>
      <c r="J67" s="600"/>
      <c r="K67" s="11"/>
      <c r="L67" s="11"/>
      <c r="M67"/>
      <c r="N67"/>
      <c r="O67"/>
      <c r="P67"/>
      <c r="Q67"/>
      <c r="R67"/>
      <c r="S67" s="112"/>
      <c r="T67"/>
      <c r="U67"/>
    </row>
    <row r="68" spans="2:25" s="37" customFormat="1" ht="20.100000000000001" customHeight="1" x14ac:dyDescent="0.3">
      <c r="B68" s="324" t="s">
        <v>17</v>
      </c>
      <c r="C68" s="325"/>
      <c r="D68" s="325"/>
      <c r="E68" s="337" t="s">
        <v>134</v>
      </c>
      <c r="F68" s="326" t="s">
        <v>9</v>
      </c>
      <c r="G68" s="327">
        <f>G61-G67</f>
        <v>1177.4015725839786</v>
      </c>
      <c r="H68" s="327">
        <f>H61-H67</f>
        <v>1527.7200957839791</v>
      </c>
      <c r="I68" s="616">
        <f t="shared" ref="I68:J68" si="8">I61-I67</f>
        <v>1878.0386189839778</v>
      </c>
      <c r="J68" s="617">
        <f t="shared" si="8"/>
        <v>0</v>
      </c>
      <c r="K68" s="48"/>
      <c r="L68" s="48"/>
      <c r="M68" s="34"/>
      <c r="N68" s="34"/>
      <c r="O68" s="34"/>
      <c r="P68" s="34"/>
      <c r="Q68" s="34"/>
      <c r="R68" s="34"/>
      <c r="S68" s="226"/>
      <c r="T68" s="34"/>
      <c r="U68" s="34"/>
    </row>
    <row r="69" spans="2:25" s="37" customFormat="1" ht="20.100000000000001" customHeight="1" x14ac:dyDescent="0.3">
      <c r="B69" s="324"/>
      <c r="C69" s="325"/>
      <c r="D69" s="325"/>
      <c r="E69" s="337" t="s">
        <v>135</v>
      </c>
      <c r="F69" s="326" t="s">
        <v>9</v>
      </c>
      <c r="G69" s="327">
        <f>G68*$I$25</f>
        <v>1177.4015725839786</v>
      </c>
      <c r="H69" s="327">
        <f>H68*$I$25</f>
        <v>1527.7200957839791</v>
      </c>
      <c r="I69" s="626">
        <f>I68*$I$25</f>
        <v>1878.0386189839778</v>
      </c>
      <c r="J69" s="627"/>
      <c r="K69" s="48"/>
      <c r="L69" s="48"/>
      <c r="M69" s="34"/>
      <c r="N69" s="34"/>
      <c r="O69" s="34"/>
      <c r="P69" s="34"/>
      <c r="Q69" s="34"/>
      <c r="R69" s="34"/>
      <c r="S69" s="226"/>
      <c r="T69" s="34"/>
      <c r="U69" s="34"/>
    </row>
    <row r="70" spans="2:25" ht="20.100000000000001" customHeight="1" x14ac:dyDescent="0.25">
      <c r="B70" s="338"/>
      <c r="C70" s="339"/>
      <c r="D70" s="339"/>
      <c r="E70" s="340" t="s">
        <v>136</v>
      </c>
      <c r="F70" s="341" t="s">
        <v>9</v>
      </c>
      <c r="G70" s="342">
        <f>G69/G71</f>
        <v>15.087415948174126</v>
      </c>
      <c r="H70" s="342">
        <f>H69/H71</f>
        <v>19.039091988590144</v>
      </c>
      <c r="I70" s="675">
        <f t="shared" ref="I70:J70" si="9">I69/I71</f>
        <v>22.779621306294793</v>
      </c>
      <c r="J70" s="676">
        <f t="shared" si="9"/>
        <v>0</v>
      </c>
      <c r="K70" s="11"/>
      <c r="L70" s="1"/>
      <c r="M70"/>
      <c r="N70"/>
      <c r="O70"/>
      <c r="P70"/>
      <c r="Q70"/>
      <c r="R70"/>
      <c r="S70" s="547" t="s">
        <v>103</v>
      </c>
      <c r="T70"/>
      <c r="U70"/>
    </row>
    <row r="71" spans="2:25" ht="20.100000000000001" customHeight="1" x14ac:dyDescent="0.25">
      <c r="B71" s="279" t="s">
        <v>226</v>
      </c>
      <c r="C71" s="335"/>
      <c r="D71" s="335"/>
      <c r="E71" s="336"/>
      <c r="F71" s="304" t="s">
        <v>124</v>
      </c>
      <c r="G71" s="305">
        <f>$I$37+((G45*100)/1000*$I$38)*$I$25</f>
        <v>78.03864999999999</v>
      </c>
      <c r="H71" s="305">
        <f>$I$37+((H45*100)/1000*$I$38)*$I$25</f>
        <v>80.241226666666662</v>
      </c>
      <c r="I71" s="673">
        <f t="shared" ref="I71:J71" si="10">$I$37+((I45*100)/1000*$I$38)*$I$25</f>
        <v>82.443803333333335</v>
      </c>
      <c r="J71" s="674">
        <f t="shared" si="10"/>
        <v>45</v>
      </c>
      <c r="K71" s="11"/>
      <c r="L71" s="1"/>
      <c r="M71"/>
      <c r="N71"/>
      <c r="O71"/>
      <c r="P71"/>
      <c r="Q71"/>
      <c r="R71"/>
      <c r="S71" s="547" t="s">
        <v>130</v>
      </c>
      <c r="T71"/>
      <c r="U71"/>
    </row>
    <row r="72" spans="2:25" s="47" customFormat="1" ht="20.100000000000001" customHeight="1" x14ac:dyDescent="0.25">
      <c r="B72" s="279" t="s">
        <v>194</v>
      </c>
      <c r="C72" s="302"/>
      <c r="D72" s="302"/>
      <c r="E72" s="343">
        <f>I11</f>
        <v>16</v>
      </c>
      <c r="F72" s="304" t="s">
        <v>9</v>
      </c>
      <c r="G72" s="305">
        <f>G71*$I$11</f>
        <v>1248.6183999999998</v>
      </c>
      <c r="H72" s="305">
        <f>H71*$I$11</f>
        <v>1283.8596266666666</v>
      </c>
      <c r="I72" s="622">
        <f>I71*$I$11</f>
        <v>1319.1008533333334</v>
      </c>
      <c r="J72" s="623">
        <f>J71*$I$11</f>
        <v>720</v>
      </c>
      <c r="K72" s="15"/>
      <c r="M72" s="38"/>
      <c r="N72" s="38"/>
      <c r="O72" s="38"/>
      <c r="P72" s="38"/>
      <c r="Q72" s="38"/>
      <c r="R72" s="38"/>
      <c r="S72" s="547"/>
      <c r="T72" s="38"/>
      <c r="U72" s="38"/>
    </row>
    <row r="73" spans="2:25" s="37" customFormat="1" ht="20.100000000000001" customHeight="1" x14ac:dyDescent="0.3">
      <c r="B73" s="344" t="s">
        <v>211</v>
      </c>
      <c r="C73" s="345"/>
      <c r="D73" s="345"/>
      <c r="E73" s="346"/>
      <c r="F73" s="347" t="s">
        <v>9</v>
      </c>
      <c r="G73" s="348">
        <f>(G69-G72)</f>
        <v>-71.21682741602126</v>
      </c>
      <c r="H73" s="348">
        <f>(H69-H72)</f>
        <v>243.8604691173125</v>
      </c>
      <c r="I73" s="616">
        <f>(I69-I72)</f>
        <v>558.93776565064445</v>
      </c>
      <c r="J73" s="617">
        <f>(J69-J72)</f>
        <v>-720</v>
      </c>
      <c r="K73" s="48"/>
      <c r="M73" s="34"/>
      <c r="N73" s="34"/>
      <c r="O73" s="34"/>
      <c r="P73" s="34"/>
      <c r="Q73" s="34"/>
      <c r="R73" s="34"/>
      <c r="S73" s="548" t="s">
        <v>289</v>
      </c>
      <c r="T73" s="34"/>
      <c r="U73" s="34"/>
    </row>
    <row r="74" spans="2:25" s="37" customFormat="1" ht="20.100000000000001" customHeight="1" x14ac:dyDescent="0.3">
      <c r="B74" s="349" t="s">
        <v>10</v>
      </c>
      <c r="C74" s="350"/>
      <c r="D74" s="350"/>
      <c r="E74" s="351"/>
      <c r="F74" s="341" t="s">
        <v>1</v>
      </c>
      <c r="G74" s="442">
        <f>((G62-(G66+G65)*$I$25-G72)-$E$34*100/$E$35-$E$34*100*$E$36%)/($E$34*100)*2</f>
        <v>3.4191432072662848E-3</v>
      </c>
      <c r="H74" s="442">
        <f>((H62-(H66+H65)*$I$25-H72)-$E$34*100/$E$35-$E$34*100*$E$36%)/($E$34*100)*2</f>
        <v>9.8897111853731068E-2</v>
      </c>
      <c r="I74" s="614">
        <f t="shared" ref="I74:J74" si="11">((I62-(I66+I65)*$I$25-I72)-$E$34*100/$E$35-$E$34*100*$E$36%)/($E$34*100)*2</f>
        <v>0.19437508050019528</v>
      </c>
      <c r="J74" s="615">
        <f t="shared" si="11"/>
        <v>-0.34121212121212119</v>
      </c>
      <c r="K74" s="48"/>
      <c r="M74" s="34"/>
      <c r="N74" s="34"/>
      <c r="O74" s="34"/>
      <c r="P74" s="34"/>
      <c r="Q74" s="34"/>
      <c r="R74" s="34"/>
      <c r="S74" s="547" t="s">
        <v>104</v>
      </c>
      <c r="T74" s="34"/>
      <c r="U74" s="34"/>
    </row>
    <row r="75" spans="2:25" ht="20.100000000000001" customHeight="1" x14ac:dyDescent="0.25">
      <c r="B75" s="663" t="s">
        <v>137</v>
      </c>
      <c r="C75" s="664"/>
      <c r="D75" s="352"/>
      <c r="E75" s="353" t="str">
        <f>IF(J6&lt;&gt;0,"brutto","")</f>
        <v/>
      </c>
      <c r="F75" s="354" t="s">
        <v>9</v>
      </c>
      <c r="G75" s="355" t="str">
        <f>IF($J$6=0,"",(G59+G64+G65+G66+G72-G50-G51)/100/G45)</f>
        <v/>
      </c>
      <c r="H75" s="355" t="str">
        <f>IF($J$6=0,"",(H59+H64+H65+H66+H72-H50-H51)/100/H45)</f>
        <v/>
      </c>
      <c r="I75" s="612" t="str">
        <f>IF($J$6=0,"",(I59+I64+I65+I66+I72-I50-I51)/100/I45)</f>
        <v/>
      </c>
      <c r="J75" s="613" t="str">
        <f>IF($J$6=0,"",(J59+J64+J65+J66+J72-J50-J51)/100/J45)</f>
        <v/>
      </c>
      <c r="K75" s="11"/>
      <c r="L75" s="1"/>
      <c r="M75"/>
      <c r="N75"/>
      <c r="O75"/>
      <c r="P75"/>
      <c r="Q75"/>
      <c r="R75"/>
      <c r="S75" s="547"/>
      <c r="T75"/>
      <c r="U75"/>
    </row>
    <row r="76" spans="2:25" ht="20.100000000000001" customHeight="1" x14ac:dyDescent="0.25">
      <c r="B76" s="665"/>
      <c r="C76" s="666"/>
      <c r="D76" s="356"/>
      <c r="E76" s="357" t="s">
        <v>18</v>
      </c>
      <c r="F76" s="358" t="s">
        <v>9</v>
      </c>
      <c r="G76" s="359">
        <f>IF($J$7="",G75/(1+$E$9),(G59+G64+G65+G66+G72-G49-G50-G51)/100/G46)</f>
        <v>0.25018094948094977</v>
      </c>
      <c r="H76" s="359">
        <f>IF($J$7="",H75/(1+$E$9),(H59+H64+H65+H66+H72-H49-H50-H51)/100/H46)</f>
        <v>0.2367885637495015</v>
      </c>
      <c r="I76" s="667">
        <f>IF($J$7="",I75/(1+$E$9),(I59+I64+I65+I66+I72-I49-I50-I51)/100/I46)</f>
        <v>0.22497175280998838</v>
      </c>
      <c r="J76" s="668" t="e">
        <f>IF($J$7="",J75/(1+$E$9),(J59+J64+J65+J66+J72-J49-J50-J51)/100/J46)</f>
        <v>#DIV/0!</v>
      </c>
      <c r="K76" s="11"/>
      <c r="L76" s="1"/>
      <c r="M76"/>
      <c r="N76"/>
      <c r="O76"/>
      <c r="P76"/>
      <c r="Q76"/>
      <c r="R76"/>
      <c r="S76" s="547"/>
      <c r="T76"/>
      <c r="U76"/>
    </row>
    <row r="77" spans="2:25" ht="20.100000000000001" customHeight="1" x14ac:dyDescent="0.25">
      <c r="B77" s="603" t="s">
        <v>212</v>
      </c>
      <c r="C77" s="370" t="s">
        <v>161</v>
      </c>
      <c r="D77" s="360"/>
      <c r="E77" s="360"/>
      <c r="F77" s="361" t="s">
        <v>293</v>
      </c>
      <c r="G77" s="362">
        <f>((G59+(G64+G65+G66)+G72/$I$25-G49-G51-G50)/100)/G46/$K$9*100</f>
        <v>25.018094948094976</v>
      </c>
      <c r="H77" s="362">
        <f>((H59+(H64+H65+H66)+H72/$I$25-H49-H51-H50)/100)/H46/$K$9*100</f>
        <v>23.678856374950151</v>
      </c>
      <c r="I77" s="605">
        <f>((I59+(I64+I65+I66)+I72/$I$25-I49-I51-I50)/100)/I46/$K$9*100</f>
        <v>22.497175280998839</v>
      </c>
      <c r="J77" s="606" t="e">
        <f t="shared" ref="J77" si="12">((J59+(J64+J65+J66)+J72/$I$25-J49-J51-J50)/100)/J46/$K$9</f>
        <v>#DIV/0!</v>
      </c>
      <c r="L77" s="1"/>
      <c r="M77"/>
      <c r="N77"/>
      <c r="O77"/>
      <c r="P77"/>
      <c r="Q77"/>
      <c r="R77"/>
      <c r="S77" s="547" t="s">
        <v>199</v>
      </c>
      <c r="T77"/>
      <c r="U77"/>
    </row>
    <row r="78" spans="2:25" ht="20.100000000000001" customHeight="1" thickBot="1" x14ac:dyDescent="0.3">
      <c r="B78" s="604"/>
      <c r="C78" s="371" t="s">
        <v>162</v>
      </c>
      <c r="D78" s="363"/>
      <c r="E78" s="363"/>
      <c r="F78" s="364" t="s">
        <v>293</v>
      </c>
      <c r="G78" s="365">
        <f>((G59-G49-G50-G51)/100/G46)/$K$9*100</f>
        <v>17.07146292627753</v>
      </c>
      <c r="H78" s="365">
        <f>((H59-H49-H50-H51)/100/H46)/$K$9*100</f>
        <v>16.081319410051847</v>
      </c>
      <c r="I78" s="366">
        <f>((I59-I49-I50-I51)/100/I46)/$K$9*100</f>
        <v>15.20766336632331</v>
      </c>
      <c r="J78" s="367"/>
      <c r="L78" s="1"/>
      <c r="M78"/>
      <c r="N78"/>
      <c r="O78"/>
      <c r="P78"/>
      <c r="Q78"/>
      <c r="R78"/>
      <c r="S78" s="547" t="s">
        <v>200</v>
      </c>
      <c r="T78"/>
      <c r="U78"/>
    </row>
    <row r="79" spans="2:25" ht="26.4" customHeight="1" x14ac:dyDescent="0.4">
      <c r="B79" s="27"/>
      <c r="C79" s="27"/>
      <c r="E79" s="27"/>
      <c r="F79" s="28"/>
      <c r="G79" s="29"/>
      <c r="H79" s="29"/>
      <c r="I79" s="30"/>
      <c r="J79" s="31"/>
      <c r="K79" s="11"/>
      <c r="L79" s="11"/>
      <c r="M79"/>
      <c r="N79"/>
      <c r="O79"/>
      <c r="P79"/>
      <c r="Q79"/>
      <c r="R79"/>
      <c r="S79" s="112"/>
      <c r="T79"/>
      <c r="U79"/>
    </row>
    <row r="80" spans="2:25" ht="11.25" customHeight="1" x14ac:dyDescent="0.4">
      <c r="B80" s="32"/>
      <c r="C80" s="32"/>
      <c r="D80" s="27"/>
      <c r="E80" s="32"/>
      <c r="F80" s="32"/>
      <c r="G80" s="32"/>
      <c r="H80" s="32"/>
      <c r="I80" s="32"/>
      <c r="J80" s="32"/>
      <c r="K80" s="19"/>
      <c r="R80" s="6"/>
      <c r="S80" s="112"/>
      <c r="T80" s="6"/>
      <c r="U80" s="4"/>
      <c r="V80" s="4"/>
      <c r="W80" s="4"/>
      <c r="X80" s="4"/>
      <c r="Y80" s="4"/>
    </row>
    <row r="81" spans="2:25" ht="8.4" customHeight="1" x14ac:dyDescent="0.25">
      <c r="B81" s="33"/>
      <c r="C81" s="33"/>
      <c r="D81" s="32"/>
      <c r="E81" s="50"/>
      <c r="F81" s="33"/>
      <c r="G81" s="51"/>
      <c r="H81" s="33"/>
      <c r="I81" s="52"/>
      <c r="J81" s="33"/>
      <c r="K81" s="19"/>
      <c r="L81" s="19"/>
      <c r="M81" s="5"/>
      <c r="N81" s="5"/>
      <c r="O81" s="5"/>
      <c r="P81" s="56"/>
      <c r="Q81" s="5"/>
      <c r="R81" s="6"/>
      <c r="S81" s="112"/>
      <c r="T81" s="6"/>
      <c r="U81" s="4"/>
      <c r="V81" s="4"/>
      <c r="W81" s="4"/>
      <c r="X81" s="4"/>
      <c r="Y81" s="4"/>
    </row>
    <row r="82" spans="2:25" s="172" customFormat="1" x14ac:dyDescent="0.25">
      <c r="B82" s="173"/>
      <c r="C82" s="171"/>
      <c r="D82" s="33"/>
      <c r="E82" s="171"/>
      <c r="F82" s="171"/>
      <c r="G82" s="171"/>
      <c r="H82" s="171"/>
      <c r="I82" s="171"/>
      <c r="J82" s="171"/>
      <c r="K82" s="72"/>
      <c r="L82" s="72"/>
    </row>
    <row r="83" spans="2:25" ht="26.4" customHeight="1" x14ac:dyDescent="0.25">
      <c r="D83" s="171"/>
      <c r="G83" s="73"/>
      <c r="H83" s="73"/>
      <c r="I83" s="73"/>
    </row>
    <row r="84" spans="2:25" ht="15.6" x14ac:dyDescent="0.25">
      <c r="G84" s="55"/>
      <c r="H84" s="55"/>
      <c r="I84" s="55"/>
    </row>
    <row r="85" spans="2:25" x14ac:dyDescent="0.25">
      <c r="B85" s="72"/>
      <c r="G85" s="54"/>
      <c r="H85" s="54"/>
      <c r="I85" s="54"/>
    </row>
    <row r="86" spans="2:25" x14ac:dyDescent="0.25">
      <c r="G86" s="54"/>
      <c r="H86" s="54"/>
      <c r="I86" s="54"/>
    </row>
    <row r="87" spans="2:25" x14ac:dyDescent="0.25">
      <c r="G87" s="54"/>
      <c r="H87" s="54"/>
      <c r="I87" s="54"/>
    </row>
    <row r="88" spans="2:25" x14ac:dyDescent="0.25">
      <c r="B88"/>
      <c r="C88"/>
      <c r="D88"/>
      <c r="E88"/>
    </row>
    <row r="89" spans="2:25" x14ac:dyDescent="0.25">
      <c r="B89"/>
      <c r="C89"/>
      <c r="D89"/>
      <c r="E89"/>
      <c r="F89" s="68"/>
      <c r="G89" s="69"/>
      <c r="H89" s="69"/>
      <c r="I89" s="69"/>
    </row>
    <row r="90" spans="2:25" x14ac:dyDescent="0.25">
      <c r="B90"/>
      <c r="C90"/>
      <c r="D90"/>
      <c r="E90"/>
      <c r="F90" s="68"/>
      <c r="G90" s="69"/>
      <c r="H90" s="69"/>
      <c r="I90" s="69"/>
    </row>
    <row r="91" spans="2:25" x14ac:dyDescent="0.25">
      <c r="B91"/>
      <c r="C91"/>
      <c r="D91"/>
      <c r="E91"/>
      <c r="F91" s="68"/>
      <c r="G91" s="69"/>
      <c r="H91" s="69"/>
      <c r="I91" s="69"/>
    </row>
    <row r="92" spans="2:25" x14ac:dyDescent="0.25">
      <c r="B92"/>
      <c r="C92"/>
      <c r="D92"/>
      <c r="E92"/>
    </row>
    <row r="93" spans="2:25" x14ac:dyDescent="0.25">
      <c r="G93" s="54"/>
      <c r="H93" s="54"/>
      <c r="I93" s="54"/>
    </row>
    <row r="94" spans="2:25" x14ac:dyDescent="0.25">
      <c r="G94" s="54"/>
      <c r="H94" s="54"/>
      <c r="I94" s="54"/>
    </row>
    <row r="95" spans="2:25" x14ac:dyDescent="0.25">
      <c r="G95" s="54"/>
      <c r="H95" s="54"/>
      <c r="I95" s="54"/>
    </row>
    <row r="96" spans="2:25" x14ac:dyDescent="0.25">
      <c r="G96" s="70"/>
      <c r="H96" s="70"/>
      <c r="I96" s="70"/>
    </row>
    <row r="97" spans="2:10" x14ac:dyDescent="0.25">
      <c r="G97" s="71"/>
      <c r="H97" s="71"/>
      <c r="I97" s="71"/>
    </row>
    <row r="98" spans="2:10" x14ac:dyDescent="0.25">
      <c r="G98" s="71"/>
      <c r="H98" s="71"/>
      <c r="I98" s="71"/>
    </row>
    <row r="99" spans="2:10" ht="15" x14ac:dyDescent="0.25">
      <c r="B99" s="13"/>
      <c r="C99" s="13"/>
      <c r="E99" s="13"/>
      <c r="F99" s="13"/>
      <c r="G99" s="53"/>
      <c r="H99" s="53"/>
      <c r="I99" s="53"/>
      <c r="J99" s="13"/>
    </row>
    <row r="100" spans="2:10" ht="15" x14ac:dyDescent="0.25">
      <c r="D100" s="13"/>
    </row>
  </sheetData>
  <sheetProtection sheet="1" objects="1" scenarios="1"/>
  <mergeCells count="57">
    <mergeCell ref="AE20:AH21"/>
    <mergeCell ref="B13:H13"/>
    <mergeCell ref="I13:J13"/>
    <mergeCell ref="B2:H2"/>
    <mergeCell ref="I2:J2"/>
    <mergeCell ref="R2:T2"/>
    <mergeCell ref="C4:D4"/>
    <mergeCell ref="I4:J4"/>
    <mergeCell ref="I14:J14"/>
    <mergeCell ref="I15:J15"/>
    <mergeCell ref="I16:J16"/>
    <mergeCell ref="B18:J18"/>
    <mergeCell ref="S18:AD19"/>
    <mergeCell ref="C19:D19"/>
    <mergeCell ref="E19:F19"/>
    <mergeCell ref="I49:J49"/>
    <mergeCell ref="R20:R22"/>
    <mergeCell ref="Y20:AD22"/>
    <mergeCell ref="G37:H37"/>
    <mergeCell ref="G41:J41"/>
    <mergeCell ref="I42:J42"/>
    <mergeCell ref="I43:J43"/>
    <mergeCell ref="I44:J44"/>
    <mergeCell ref="I45:J45"/>
    <mergeCell ref="I46:J46"/>
    <mergeCell ref="I47:J47"/>
    <mergeCell ref="I48:J48"/>
    <mergeCell ref="I61:J61"/>
    <mergeCell ref="I50:J50"/>
    <mergeCell ref="I51:J51"/>
    <mergeCell ref="I52:J52"/>
    <mergeCell ref="I53:J53"/>
    <mergeCell ref="I54:J54"/>
    <mergeCell ref="I55:J55"/>
    <mergeCell ref="I56:J56"/>
    <mergeCell ref="I57:J57"/>
    <mergeCell ref="I58:J58"/>
    <mergeCell ref="I59:J59"/>
    <mergeCell ref="I60:J60"/>
    <mergeCell ref="I73:J73"/>
    <mergeCell ref="I62:J62"/>
    <mergeCell ref="I63:J63"/>
    <mergeCell ref="I64:J64"/>
    <mergeCell ref="I65:J65"/>
    <mergeCell ref="I66:J66"/>
    <mergeCell ref="I67:J67"/>
    <mergeCell ref="I68:J68"/>
    <mergeCell ref="I69:J69"/>
    <mergeCell ref="I70:J70"/>
    <mergeCell ref="I71:J71"/>
    <mergeCell ref="I72:J72"/>
    <mergeCell ref="I74:J74"/>
    <mergeCell ref="B75:C76"/>
    <mergeCell ref="I75:J75"/>
    <mergeCell ref="I76:J76"/>
    <mergeCell ref="B77:B78"/>
    <mergeCell ref="I77:J77"/>
  </mergeCells>
  <printOptions horizontalCentered="1" gridLinesSet="0"/>
  <pageMargins left="0.25" right="0.25" top="0.75" bottom="0.75" header="0.3" footer="0.3"/>
  <pageSetup paperSize="9" scale="53" orientation="portrait" verticalDpi="300" r:id="rId1"/>
  <headerFooter alignWithMargins="0">
    <oddFooter>&amp;LLEL, Abt.2, J.Miez, K.Schabel, V. Segger&amp;C&amp;F&amp;R&amp;D</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CCFFCC"/>
    <pageSetUpPr fitToPage="1"/>
  </sheetPr>
  <dimension ref="B3:K24"/>
  <sheetViews>
    <sheetView workbookViewId="0"/>
  </sheetViews>
  <sheetFormatPr baseColWidth="10" defaultRowHeight="13.2" x14ac:dyDescent="0.25"/>
  <cols>
    <col min="1" max="1" width="2" customWidth="1"/>
    <col min="2" max="2" width="2.88671875" customWidth="1"/>
    <col min="3" max="3" width="25.44140625" customWidth="1"/>
    <col min="4" max="6" width="13.6640625" customWidth="1"/>
    <col min="7" max="7" width="4.6640625" customWidth="1"/>
    <col min="8" max="10" width="13.6640625" customWidth="1"/>
    <col min="11" max="11" width="15.77734375" customWidth="1"/>
  </cols>
  <sheetData>
    <row r="3" spans="2:11" ht="13.8" thickBot="1" x14ac:dyDescent="0.3"/>
    <row r="4" spans="2:11" ht="17.399999999999999" x14ac:dyDescent="0.3">
      <c r="C4" s="523" t="s">
        <v>247</v>
      </c>
      <c r="D4" s="524" t="str">
        <f>CONCATENATE("bezogen auf ",'3.000'!$B$18)</f>
        <v>bezogen auf 100 eingestallte Legehennen und 12 monatige Legeperiode</v>
      </c>
      <c r="E4" s="525"/>
      <c r="F4" s="526"/>
      <c r="G4" s="526"/>
      <c r="H4" s="526"/>
      <c r="I4" s="526"/>
      <c r="J4" s="527"/>
      <c r="K4" s="41"/>
    </row>
    <row r="5" spans="2:11" ht="16.2" thickBot="1" x14ac:dyDescent="0.35">
      <c r="C5" s="528" t="str">
        <f>Info!H3</f>
        <v>Vers.01/2018
 (Stand: 07/2018)</v>
      </c>
      <c r="D5" s="529" t="str">
        <f>IF('3.000'!$J$7=0,'3.000'!$I$6&amp;", ",'3.000'!$I$7&amp;", ")</f>
        <v xml:space="preserve">Regelbesteuerung , </v>
      </c>
      <c r="E5" s="530"/>
      <c r="F5" s="531" t="str">
        <f>IF('3.000'!$F$7="","Investitionsförderung "&amp;'3.000'!I10&amp;" %","ohne Investitionsförderung")</f>
        <v>Investitionsförderung 40 %</v>
      </c>
      <c r="G5" s="530"/>
      <c r="H5" s="532"/>
      <c r="I5" s="530"/>
      <c r="J5" s="533"/>
    </row>
    <row r="6" spans="2:11" ht="13.8" thickBot="1" x14ac:dyDescent="0.3"/>
    <row r="7" spans="2:11" ht="15.6" x14ac:dyDescent="0.3">
      <c r="C7" s="456" t="s">
        <v>243</v>
      </c>
      <c r="D7" s="457" t="s">
        <v>157</v>
      </c>
      <c r="E7" s="457" t="s">
        <v>250</v>
      </c>
      <c r="F7" s="458" t="s">
        <v>251</v>
      </c>
      <c r="G7" s="459"/>
      <c r="H7" s="459"/>
      <c r="I7" s="456" t="s">
        <v>249</v>
      </c>
      <c r="J7" s="460"/>
    </row>
    <row r="8" spans="2:11" ht="15" x14ac:dyDescent="0.25">
      <c r="C8" s="461" t="s">
        <v>164</v>
      </c>
      <c r="D8" s="462">
        <f>'3.000'!$C$20</f>
        <v>0.5</v>
      </c>
      <c r="E8" s="462">
        <f>'3.000'!$C$21</f>
        <v>0.4</v>
      </c>
      <c r="F8" s="463">
        <f>'3.000'!$C$22</f>
        <v>0.1</v>
      </c>
      <c r="G8" s="464"/>
      <c r="H8" s="464"/>
      <c r="I8" s="465">
        <f>'3.000'!$E$23</f>
        <v>24.700000000000003</v>
      </c>
      <c r="J8" s="466"/>
    </row>
    <row r="9" spans="2:11" ht="15.6" thickBot="1" x14ac:dyDescent="0.3">
      <c r="C9" s="467" t="s">
        <v>231</v>
      </c>
      <c r="D9" s="468">
        <f>'3.000'!$E$20</f>
        <v>19</v>
      </c>
      <c r="E9" s="468">
        <f>'3.000'!$E$21</f>
        <v>28</v>
      </c>
      <c r="F9" s="469">
        <f>'3.000'!$E$22</f>
        <v>40</v>
      </c>
      <c r="G9" s="470"/>
      <c r="H9" s="470"/>
      <c r="I9" s="471"/>
      <c r="J9" s="472"/>
    </row>
    <row r="11" spans="2:11" ht="13.8" thickBot="1" x14ac:dyDescent="0.3"/>
    <row r="12" spans="2:11" ht="18.3" customHeight="1" x14ac:dyDescent="0.4">
      <c r="B12" s="447"/>
      <c r="C12" s="504" t="s">
        <v>230</v>
      </c>
      <c r="D12" s="505"/>
      <c r="E12" s="505"/>
      <c r="F12" s="505"/>
      <c r="G12" s="506" t="s">
        <v>229</v>
      </c>
      <c r="H12" s="507">
        <f>'3.000'!G42</f>
        <v>0.75</v>
      </c>
      <c r="I12" s="508">
        <f>'3.000'!H42</f>
        <v>0.8</v>
      </c>
      <c r="J12" s="509">
        <f>'3.000'!I42</f>
        <v>0.85</v>
      </c>
    </row>
    <row r="13" spans="2:11" ht="15" x14ac:dyDescent="0.25">
      <c r="B13" s="701"/>
      <c r="C13" s="473" t="s">
        <v>234</v>
      </c>
      <c r="D13" s="474"/>
      <c r="E13" s="474"/>
      <c r="F13" s="474"/>
      <c r="G13" s="475" t="s">
        <v>9</v>
      </c>
      <c r="H13" s="476">
        <f>'3.000'!G52*'3.000'!$I$25</f>
        <v>5894.8281575679994</v>
      </c>
      <c r="I13" s="477">
        <f>'3.000'!H52*'3.000'!$I$25</f>
        <v>6268.4680807679997</v>
      </c>
      <c r="J13" s="478">
        <f>'3.000'!I52*'3.000'!$I$25</f>
        <v>6642.1080039679991</v>
      </c>
    </row>
    <row r="14" spans="2:11" ht="15.6" x14ac:dyDescent="0.3">
      <c r="B14" s="701"/>
      <c r="C14" s="497" t="s">
        <v>241</v>
      </c>
      <c r="D14" s="498"/>
      <c r="E14" s="498"/>
      <c r="F14" s="498"/>
      <c r="G14" s="499" t="s">
        <v>9</v>
      </c>
      <c r="H14" s="500">
        <f>('3.000'!G48+'3.000'!G49)*'3.000'!$I$25</f>
        <v>5604.5988479999996</v>
      </c>
      <c r="I14" s="501">
        <f>('3.000'!H48+'3.000'!H49)*'3.000'!$I$25</f>
        <v>5978.2387712</v>
      </c>
      <c r="J14" s="502">
        <f>('3.000'!I48+'3.000'!I49)*'3.000'!$I$25</f>
        <v>6351.8786943999994</v>
      </c>
    </row>
    <row r="15" spans="2:11" ht="15" x14ac:dyDescent="0.25">
      <c r="B15" s="141"/>
      <c r="C15" s="479" t="s">
        <v>235</v>
      </c>
      <c r="D15" s="480"/>
      <c r="E15" s="480"/>
      <c r="F15" s="480"/>
      <c r="G15" s="475" t="s">
        <v>9</v>
      </c>
      <c r="H15" s="481">
        <f>'3.000'!G59*'3.000'!$I$25</f>
        <v>4186.9097782613317</v>
      </c>
      <c r="I15" s="482">
        <f>'3.000'!H59*'3.000'!$I$25</f>
        <v>4210.2311782613315</v>
      </c>
      <c r="J15" s="483">
        <f>'3.000'!I59*'3.000'!$I$25</f>
        <v>4233.5525782613322</v>
      </c>
    </row>
    <row r="16" spans="2:11" ht="15.6" x14ac:dyDescent="0.3">
      <c r="C16" s="497" t="s">
        <v>242</v>
      </c>
      <c r="D16" s="498"/>
      <c r="E16" s="498"/>
      <c r="F16" s="498"/>
      <c r="G16" s="503" t="s">
        <v>9</v>
      </c>
      <c r="H16" s="500">
        <f>'3.000'!G55*'3.000'!$I$25</f>
        <v>2583.6999000000001</v>
      </c>
      <c r="I16" s="501">
        <f>'3.000'!H55*'3.000'!$I$25</f>
        <v>2583.6999000000001</v>
      </c>
      <c r="J16" s="502">
        <f>'3.000'!I55*'3.000'!$I$25</f>
        <v>2583.6999000000001</v>
      </c>
    </row>
    <row r="17" spans="2:10" ht="17.399999999999999" x14ac:dyDescent="0.3">
      <c r="C17" s="510" t="s">
        <v>133</v>
      </c>
      <c r="D17" s="511"/>
      <c r="E17" s="512"/>
      <c r="F17" s="511" t="s">
        <v>245</v>
      </c>
      <c r="G17" s="513" t="s">
        <v>9</v>
      </c>
      <c r="H17" s="514">
        <f>'3.000'!G62</f>
        <v>1707.9183793066677</v>
      </c>
      <c r="I17" s="515">
        <f>'3.000'!H62</f>
        <v>2058.2369025066682</v>
      </c>
      <c r="J17" s="516">
        <f>'3.000'!I62</f>
        <v>2408.5554257066669</v>
      </c>
    </row>
    <row r="18" spans="2:10" ht="15.6" x14ac:dyDescent="0.25">
      <c r="B18" s="141"/>
      <c r="C18" s="473" t="s">
        <v>236</v>
      </c>
      <c r="D18" s="474"/>
      <c r="E18" s="484"/>
      <c r="F18" s="485"/>
      <c r="G18" s="475" t="s">
        <v>9</v>
      </c>
      <c r="H18" s="476">
        <f>'3.000'!G67*'3.000'!$I$25</f>
        <v>530.51680672268913</v>
      </c>
      <c r="I18" s="477">
        <f>'3.000'!H67*'3.000'!$I$25</f>
        <v>530.51680672268913</v>
      </c>
      <c r="J18" s="478">
        <f>'3.000'!I67*'3.000'!$I$25</f>
        <v>530.51680672268913</v>
      </c>
    </row>
    <row r="19" spans="2:10" ht="15" x14ac:dyDescent="0.25">
      <c r="B19" s="141"/>
      <c r="C19" s="473" t="s">
        <v>290</v>
      </c>
      <c r="D19" s="474"/>
      <c r="E19" s="474"/>
      <c r="F19" s="486" t="s">
        <v>245</v>
      </c>
      <c r="G19" s="475" t="s">
        <v>237</v>
      </c>
      <c r="H19" s="476">
        <f>'3.000'!G71</f>
        <v>78.03864999999999</v>
      </c>
      <c r="I19" s="477">
        <f>'3.000'!H71</f>
        <v>80.241226666666662</v>
      </c>
      <c r="J19" s="478">
        <f>'3.000'!I71</f>
        <v>82.443803333333335</v>
      </c>
    </row>
    <row r="20" spans="2:10" ht="15" x14ac:dyDescent="0.25">
      <c r="C20" s="473" t="s">
        <v>233</v>
      </c>
      <c r="D20" s="487" t="str">
        <f>CONCATENATE("bei ", '3.000'!I11)</f>
        <v>bei 16</v>
      </c>
      <c r="E20" s="474" t="s">
        <v>244</v>
      </c>
      <c r="F20" s="485"/>
      <c r="G20" s="475" t="s">
        <v>9</v>
      </c>
      <c r="H20" s="476">
        <f>'3.000'!G72</f>
        <v>1248.6183999999998</v>
      </c>
      <c r="I20" s="477">
        <f>'3.000'!H72</f>
        <v>1283.8596266666666</v>
      </c>
      <c r="J20" s="478">
        <f>'3.000'!I72</f>
        <v>1319.1008533333334</v>
      </c>
    </row>
    <row r="21" spans="2:10" ht="17.399999999999999" x14ac:dyDescent="0.3">
      <c r="C21" s="517" t="s">
        <v>232</v>
      </c>
      <c r="D21" s="518"/>
      <c r="E21" s="519"/>
      <c r="F21" s="511" t="s">
        <v>246</v>
      </c>
      <c r="G21" s="513" t="s">
        <v>9</v>
      </c>
      <c r="H21" s="520">
        <f>'3.000'!G73</f>
        <v>-71.21682741602126</v>
      </c>
      <c r="I21" s="521">
        <f>'3.000'!H73</f>
        <v>243.8604691173125</v>
      </c>
      <c r="J21" s="522">
        <f>'3.000'!I73</f>
        <v>558.93776565064445</v>
      </c>
    </row>
    <row r="22" spans="2:10" ht="15.6" customHeight="1" x14ac:dyDescent="0.25">
      <c r="C22" s="479" t="s">
        <v>240</v>
      </c>
      <c r="D22" s="474"/>
      <c r="E22" s="474"/>
      <c r="F22" s="474"/>
      <c r="G22" s="475" t="s">
        <v>9</v>
      </c>
      <c r="H22" s="488">
        <f>'3.000'!G70</f>
        <v>15.087415948174126</v>
      </c>
      <c r="I22" s="489">
        <f>'3.000'!H70</f>
        <v>19.039091988590144</v>
      </c>
      <c r="J22" s="490">
        <f>'3.000'!I70</f>
        <v>22.779621306294793</v>
      </c>
    </row>
    <row r="23" spans="2:10" ht="15.6" customHeight="1" thickBot="1" x14ac:dyDescent="0.3">
      <c r="C23" s="450" t="s">
        <v>238</v>
      </c>
      <c r="D23" s="491"/>
      <c r="E23" s="492"/>
      <c r="F23" s="492"/>
      <c r="G23" s="493" t="s">
        <v>239</v>
      </c>
      <c r="H23" s="494">
        <f>'3.000'!G77</f>
        <v>25.018094948094976</v>
      </c>
      <c r="I23" s="495">
        <f>'3.000'!H77</f>
        <v>23.678856374950151</v>
      </c>
      <c r="J23" s="496">
        <f>'3.000'!I77</f>
        <v>22.497175280998839</v>
      </c>
    </row>
    <row r="24" spans="2:10" x14ac:dyDescent="0.25">
      <c r="H24" s="205"/>
      <c r="I24" s="205"/>
    </row>
  </sheetData>
  <sheetProtection sheet="1" objects="1" scenarios="1"/>
  <mergeCells count="1">
    <mergeCell ref="B13:B14"/>
  </mergeCells>
  <pageMargins left="0.7" right="0.7" top="0.78740157499999996" bottom="0.78740157499999996" header="0.3" footer="0.3"/>
  <pageSetup paperSize="9" scale="81"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5" tint="0.59999389629810485"/>
    <pageSetUpPr fitToPage="1"/>
  </sheetPr>
  <dimension ref="B2:S54"/>
  <sheetViews>
    <sheetView zoomScale="87" zoomScaleNormal="87" workbookViewId="0"/>
  </sheetViews>
  <sheetFormatPr baseColWidth="10" defaultRowHeight="13.2" x14ac:dyDescent="0.25"/>
  <cols>
    <col min="1" max="1" width="2.109375" customWidth="1"/>
    <col min="6" max="6" width="9.33203125" customWidth="1"/>
    <col min="8" max="8" width="9.109375" customWidth="1"/>
    <col min="9" max="9" width="14.6640625" customWidth="1"/>
    <col min="10" max="10" width="9.21875" customWidth="1"/>
    <col min="13" max="13" width="10.88671875" customWidth="1"/>
  </cols>
  <sheetData>
    <row r="2" spans="2:19" ht="5.4" customHeight="1" thickBot="1" x14ac:dyDescent="0.3"/>
    <row r="3" spans="2:19" ht="40.049999999999997" customHeight="1" thickBot="1" x14ac:dyDescent="0.3">
      <c r="B3" s="731" t="str">
        <f>'3.000'!B2</f>
        <v xml:space="preserve">               VOKO ÖKO-Legehenne - 3.000 Hennen </v>
      </c>
      <c r="C3" s="732"/>
      <c r="D3" s="732"/>
      <c r="E3" s="732"/>
      <c r="F3" s="732"/>
      <c r="G3" s="732"/>
      <c r="H3" s="732"/>
      <c r="I3" s="732"/>
      <c r="J3" s="732"/>
      <c r="K3" s="549"/>
      <c r="L3" s="733" t="str">
        <f>Info!H3</f>
        <v>Vers.01/2018
 (Stand: 07/2018)</v>
      </c>
      <c r="M3" s="734"/>
    </row>
    <row r="4" spans="2:19" ht="10.199999999999999" customHeight="1" thickBot="1" x14ac:dyDescent="0.3">
      <c r="B4" s="269"/>
      <c r="C4" s="269"/>
      <c r="D4" s="269"/>
      <c r="E4" s="269"/>
      <c r="F4" s="269"/>
      <c r="G4" s="269"/>
      <c r="H4" s="269"/>
      <c r="I4" s="269"/>
      <c r="J4" s="269"/>
      <c r="K4" s="544"/>
      <c r="L4" s="544"/>
      <c r="M4" s="205"/>
    </row>
    <row r="5" spans="2:19" ht="26.55" customHeight="1" x14ac:dyDescent="0.25">
      <c r="B5" s="711" t="s">
        <v>213</v>
      </c>
      <c r="C5" s="712"/>
      <c r="D5" s="712"/>
      <c r="E5" s="712"/>
      <c r="F5" s="712"/>
      <c r="G5" s="712"/>
      <c r="H5" s="712"/>
      <c r="I5" s="712"/>
      <c r="J5" s="712"/>
      <c r="K5" s="712"/>
      <c r="L5" s="712"/>
      <c r="M5" s="735"/>
    </row>
    <row r="6" spans="2:19" ht="17.399999999999999" x14ac:dyDescent="0.25">
      <c r="B6" s="382"/>
      <c r="C6" s="383" t="s">
        <v>82</v>
      </c>
      <c r="D6" s="383"/>
      <c r="E6" s="384"/>
      <c r="F6" s="722" t="s">
        <v>157</v>
      </c>
      <c r="G6" s="723"/>
      <c r="H6" s="724" t="s">
        <v>158</v>
      </c>
      <c r="I6" s="723"/>
      <c r="J6" s="724" t="s">
        <v>159</v>
      </c>
      <c r="K6" s="722"/>
      <c r="L6" s="722"/>
      <c r="M6" s="736"/>
    </row>
    <row r="7" spans="2:19" ht="30.6" customHeight="1" x14ac:dyDescent="0.25">
      <c r="B7" s="385"/>
      <c r="C7" s="386" t="s">
        <v>164</v>
      </c>
      <c r="D7" s="386"/>
      <c r="E7" s="386"/>
      <c r="F7" s="721">
        <f>'3.000'!C20</f>
        <v>0.5</v>
      </c>
      <c r="G7" s="715"/>
      <c r="H7" s="714">
        <f>'3.000'!C21</f>
        <v>0.4</v>
      </c>
      <c r="I7" s="715"/>
      <c r="J7" s="718">
        <f>'3.000'!C22</f>
        <v>0.1</v>
      </c>
      <c r="K7" s="719"/>
      <c r="L7" s="719"/>
      <c r="M7" s="729"/>
    </row>
    <row r="8" spans="2:19" ht="18" thickBot="1" x14ac:dyDescent="0.3">
      <c r="B8" s="388"/>
      <c r="C8" s="389" t="s">
        <v>165</v>
      </c>
      <c r="D8" s="389"/>
      <c r="E8" s="389"/>
      <c r="F8" s="720">
        <f>'3.000'!E20</f>
        <v>19</v>
      </c>
      <c r="G8" s="717"/>
      <c r="H8" s="716">
        <f>'3.000'!E21</f>
        <v>28</v>
      </c>
      <c r="I8" s="717"/>
      <c r="J8" s="716">
        <f>'3.000'!E22</f>
        <v>40</v>
      </c>
      <c r="K8" s="720"/>
      <c r="L8" s="720"/>
      <c r="M8" s="730"/>
    </row>
    <row r="9" spans="2:19" ht="15.6" x14ac:dyDescent="0.25">
      <c r="B9" s="42"/>
      <c r="C9" s="42"/>
      <c r="D9" s="42"/>
      <c r="E9" s="42"/>
      <c r="F9" s="372"/>
      <c r="G9" s="372"/>
      <c r="H9" s="372"/>
      <c r="I9" s="372"/>
      <c r="J9" s="372"/>
      <c r="K9" s="268"/>
      <c r="L9" s="268"/>
    </row>
    <row r="10" spans="2:19" ht="15.6" x14ac:dyDescent="0.25">
      <c r="B10" s="42"/>
      <c r="C10" s="42"/>
      <c r="D10" s="42"/>
      <c r="E10" s="42"/>
      <c r="F10" s="42"/>
      <c r="G10" s="42"/>
      <c r="H10" s="42"/>
      <c r="I10" s="42"/>
      <c r="J10" s="42"/>
      <c r="K10" s="42"/>
      <c r="L10" s="42"/>
      <c r="N10" s="710"/>
      <c r="O10" s="710"/>
      <c r="S10" s="196"/>
    </row>
    <row r="11" spans="2:19" x14ac:dyDescent="0.25">
      <c r="N11" s="710"/>
      <c r="O11" s="710"/>
      <c r="P11" s="196"/>
      <c r="Q11" s="1"/>
      <c r="R11" s="1"/>
      <c r="S11" s="1"/>
    </row>
    <row r="12" spans="2:19" x14ac:dyDescent="0.25">
      <c r="N12" s="710"/>
      <c r="O12" s="710"/>
      <c r="P12" s="1"/>
      <c r="Q12" s="1"/>
      <c r="R12" s="1"/>
      <c r="S12" s="1"/>
    </row>
    <row r="13" spans="2:19" ht="15" x14ac:dyDescent="0.25">
      <c r="N13" s="710"/>
      <c r="O13" s="710"/>
      <c r="P13" s="10"/>
      <c r="Q13" s="706" t="s">
        <v>74</v>
      </c>
      <c r="R13" s="708" t="s">
        <v>75</v>
      </c>
      <c r="S13" s="1"/>
    </row>
    <row r="14" spans="2:19" x14ac:dyDescent="0.25">
      <c r="N14" s="187" t="s">
        <v>77</v>
      </c>
      <c r="O14" s="178"/>
      <c r="P14" s="178"/>
      <c r="Q14" s="707"/>
      <c r="R14" s="709"/>
      <c r="S14" s="1"/>
    </row>
    <row r="15" spans="2:19" x14ac:dyDescent="0.25">
      <c r="N15" s="184"/>
      <c r="O15" s="1"/>
      <c r="P15" s="1"/>
      <c r="Q15" s="1"/>
      <c r="R15" s="179"/>
      <c r="S15" s="1"/>
    </row>
    <row r="16" spans="2:19" ht="15" x14ac:dyDescent="0.25">
      <c r="N16" s="185" t="s">
        <v>76</v>
      </c>
      <c r="O16" s="38"/>
      <c r="P16" s="38"/>
      <c r="Q16" s="57">
        <f>'3.000'!E24*100</f>
        <v>1060</v>
      </c>
      <c r="R16" s="180">
        <f>Q16/100/'3.000'!$H$45*100</f>
        <v>4.261107823715558</v>
      </c>
      <c r="S16" s="140">
        <f t="shared" ref="S16:S23" si="0">R16/$R$30</f>
        <v>0.17510294117447855</v>
      </c>
    </row>
    <row r="17" spans="14:19" ht="15" x14ac:dyDescent="0.25">
      <c r="N17" s="185" t="s">
        <v>13</v>
      </c>
      <c r="O17" s="38"/>
      <c r="P17" s="38"/>
      <c r="Q17" s="57">
        <f>'3.000'!H55</f>
        <v>2583.6999000000001</v>
      </c>
      <c r="R17" s="180">
        <f>$Q17/100/'3.000'!$H$45*100</f>
        <v>10.386248922663306</v>
      </c>
      <c r="S17" s="140">
        <f t="shared" si="0"/>
        <v>0.42680514302094918</v>
      </c>
    </row>
    <row r="18" spans="14:19" ht="15" x14ac:dyDescent="0.25">
      <c r="N18" s="185" t="s">
        <v>166</v>
      </c>
      <c r="O18" s="38"/>
      <c r="P18" s="38"/>
      <c r="Q18" s="57">
        <f>'3.000'!H28+'3.000'!H29</f>
        <v>47.08</v>
      </c>
      <c r="R18" s="180">
        <f>$Q18/100/'3.000'!$H$45*100</f>
        <v>0.1892575059816306</v>
      </c>
      <c r="S18" s="140">
        <f t="shared" si="0"/>
        <v>7.7772136514098582E-3</v>
      </c>
    </row>
    <row r="19" spans="14:19" ht="15" x14ac:dyDescent="0.25">
      <c r="N19" s="185" t="str">
        <f>'3.000'!G30</f>
        <v xml:space="preserve">    Energie, Wasser</v>
      </c>
      <c r="O19" s="38"/>
      <c r="P19" s="38"/>
      <c r="Q19" s="57">
        <f>'3.000'!H30</f>
        <v>120</v>
      </c>
      <c r="R19" s="180">
        <f>$Q19/100/'3.000'!$H$45*100</f>
        <v>0.48238956494893104</v>
      </c>
      <c r="S19" s="140">
        <f t="shared" si="0"/>
        <v>1.9822974472582477E-2</v>
      </c>
    </row>
    <row r="20" spans="14:19" ht="15" x14ac:dyDescent="0.25">
      <c r="N20" s="185" t="str">
        <f>'3.000'!G31</f>
        <v xml:space="preserve">    Einstreu, Pflege Auslauf</v>
      </c>
      <c r="O20" s="38"/>
      <c r="P20" s="38"/>
      <c r="Q20" s="57">
        <f>'3.000'!H31</f>
        <v>23.6</v>
      </c>
      <c r="R20" s="180">
        <f>$Q20/100/'3.000'!$H$45*100</f>
        <v>9.4869947773289789E-2</v>
      </c>
      <c r="S20" s="140">
        <f t="shared" si="0"/>
        <v>3.8985183129412212E-3</v>
      </c>
    </row>
    <row r="21" spans="14:19" ht="15" x14ac:dyDescent="0.25">
      <c r="N21" s="185" t="str">
        <f>'3.000'!G32&amp;"&amp; Düngerausbringung"</f>
        <v xml:space="preserve">    variable Maschinenkosten&amp; Düngerausbringung</v>
      </c>
      <c r="O21" s="38"/>
      <c r="P21" s="38"/>
      <c r="Q21" s="57">
        <f>'3.000'!H32+'3.000'!H33</f>
        <v>15</v>
      </c>
      <c r="R21" s="180">
        <f>$Q21/100/'3.000'!$H$45*100</f>
        <v>6.029869561861638E-2</v>
      </c>
      <c r="S21" s="140">
        <f t="shared" si="0"/>
        <v>2.4778718090728096E-3</v>
      </c>
    </row>
    <row r="22" spans="14:19" ht="15" x14ac:dyDescent="0.25">
      <c r="N22" s="185" t="str">
        <f>'3.000'!G34</f>
        <v xml:space="preserve">    Beratung, Kontrolle</v>
      </c>
      <c r="O22" s="38"/>
      <c r="P22" s="38"/>
      <c r="Q22" s="57">
        <f>'3.000'!H34</f>
        <v>10</v>
      </c>
      <c r="R22" s="180">
        <f>$Q22/100/'3.000'!$H$45*100</f>
        <v>4.0199130412410924E-2</v>
      </c>
      <c r="S22" s="140">
        <f t="shared" si="0"/>
        <v>1.6519145393818734E-3</v>
      </c>
    </row>
    <row r="23" spans="14:19" ht="15" x14ac:dyDescent="0.25">
      <c r="N23" s="185" t="s">
        <v>100</v>
      </c>
      <c r="O23" s="1"/>
      <c r="P23" s="1"/>
      <c r="Q23" s="57">
        <f>'3.000'!H58</f>
        <v>373.14240000000001</v>
      </c>
      <c r="R23" s="180">
        <f>$Q23/100/'3.000'!$H$45*100</f>
        <v>1.5000000000000002</v>
      </c>
      <c r="S23" s="140">
        <f t="shared" si="0"/>
        <v>6.1639935581984669E-2</v>
      </c>
    </row>
    <row r="24" spans="14:19" ht="38.700000000000003" customHeight="1" x14ac:dyDescent="0.25">
      <c r="N24" s="185" t="str">
        <f>'3.000'!G35</f>
        <v>Zinsansatz Vieh- und Umlaufverm.</v>
      </c>
      <c r="O24" s="38"/>
      <c r="P24" s="38"/>
      <c r="Q24" s="57">
        <f>'3.000'!I35</f>
        <v>8.6999999999999993</v>
      </c>
      <c r="R24" s="180">
        <f>$Q24/100/'3.000'!$H$45*100</f>
        <v>3.4973243458797501E-2</v>
      </c>
      <c r="S24" s="140">
        <f>R25/$R$30</f>
        <v>8.259572696909365E-3</v>
      </c>
    </row>
    <row r="25" spans="14:19" ht="15" x14ac:dyDescent="0.25">
      <c r="N25" s="185" t="str">
        <f>'3.000'!B66</f>
        <v>Gemeinkosten (ohne Mwst.)</v>
      </c>
      <c r="O25" s="38"/>
      <c r="P25" s="38"/>
      <c r="Q25" s="60">
        <f>'3.000'!H36</f>
        <v>50</v>
      </c>
      <c r="R25" s="180">
        <f>$Q25/100/'3.000'!$H$45*100</f>
        <v>0.20099565206205461</v>
      </c>
      <c r="S25" s="140">
        <f>R26/$R$30</f>
        <v>0.21208263838160502</v>
      </c>
    </row>
    <row r="26" spans="14:19" ht="15" x14ac:dyDescent="0.25">
      <c r="N26" s="185" t="s">
        <v>15</v>
      </c>
      <c r="O26" s="38"/>
      <c r="P26" s="38"/>
      <c r="Q26" s="60">
        <f>'3.000'!H72</f>
        <v>1283.8596266666666</v>
      </c>
      <c r="R26" s="180">
        <f>$Q26/100/'3.000'!$H$45*100</f>
        <v>5.1610040563602526</v>
      </c>
      <c r="S26" s="140">
        <f>R27/$R$30</f>
        <v>7.9044110709422633E-2</v>
      </c>
    </row>
    <row r="27" spans="14:19" ht="15" x14ac:dyDescent="0.25">
      <c r="N27" s="185" t="s">
        <v>14</v>
      </c>
      <c r="O27" s="38"/>
      <c r="P27" s="38"/>
      <c r="Q27" s="60">
        <f>'3.000'!H64</f>
        <v>478.5</v>
      </c>
      <c r="R27" s="180">
        <f>$Q27/100/'3.000'!$H$45*100</f>
        <v>1.9235283902338627</v>
      </c>
      <c r="S27" s="140">
        <f>R28/$R$30</f>
        <v>0</v>
      </c>
    </row>
    <row r="28" spans="14:19" ht="15" x14ac:dyDescent="0.25">
      <c r="N28" s="186"/>
      <c r="O28" s="38"/>
      <c r="P28" s="38"/>
      <c r="Q28" s="1"/>
      <c r="R28" s="179"/>
      <c r="S28" s="140"/>
    </row>
    <row r="29" spans="14:19" x14ac:dyDescent="0.25">
      <c r="N29" s="12"/>
      <c r="O29" s="1"/>
      <c r="P29" s="1"/>
      <c r="Q29" s="1"/>
      <c r="R29" s="179"/>
      <c r="S29" s="1"/>
    </row>
    <row r="30" spans="14:19" ht="17.399999999999999" x14ac:dyDescent="0.3">
      <c r="N30" s="61" t="s">
        <v>16</v>
      </c>
      <c r="O30" s="41"/>
      <c r="P30" s="41"/>
      <c r="Q30" s="62">
        <f>SUM(Q16:Q27)</f>
        <v>6053.5819266666658</v>
      </c>
      <c r="R30" s="181">
        <f>SUM(R16:R27)</f>
        <v>24.334872933228713</v>
      </c>
      <c r="S30" s="34"/>
    </row>
    <row r="54" ht="205.8" customHeight="1" x14ac:dyDescent="0.25"/>
  </sheetData>
  <sheetProtection sheet="1" objects="1" scenarios="1"/>
  <mergeCells count="17">
    <mergeCell ref="B3:J3"/>
    <mergeCell ref="B5:L5"/>
    <mergeCell ref="F6:G6"/>
    <mergeCell ref="H6:I6"/>
    <mergeCell ref="J6:L6"/>
    <mergeCell ref="L3:M3"/>
    <mergeCell ref="M5:M6"/>
    <mergeCell ref="N10:O13"/>
    <mergeCell ref="Q13:Q14"/>
    <mergeCell ref="R13:R14"/>
    <mergeCell ref="M7:M8"/>
    <mergeCell ref="F7:G7"/>
    <mergeCell ref="H7:I7"/>
    <mergeCell ref="F8:G8"/>
    <mergeCell ref="H8:I8"/>
    <mergeCell ref="J7:L7"/>
    <mergeCell ref="J8:L8"/>
  </mergeCells>
  <pageMargins left="0.25" right="0.25" top="0.75" bottom="0.75" header="0.3" footer="0.3"/>
  <pageSetup paperSize="9" scale="74" orientation="portrait" r:id="rId1"/>
  <headerFooter alignWithMargins="0">
    <oddFooter>&amp;LLEL, Abt.2, J.Miez,  K.Schabel, V. Segger&amp;C&amp;F&amp;R&amp;D</oddFooter>
  </headerFooter>
  <rowBreaks count="1" manualBreakCount="1">
    <brk id="56"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10</vt:i4>
      </vt:variant>
    </vt:vector>
  </HeadingPairs>
  <TitlesOfParts>
    <vt:vector size="23" baseType="lpstr">
      <vt:lpstr>Info</vt:lpstr>
      <vt:lpstr>Ökorichlinien</vt:lpstr>
      <vt:lpstr>6.000</vt:lpstr>
      <vt:lpstr>Hühnermast</vt:lpstr>
      <vt:lpstr>Folie6.000</vt:lpstr>
      <vt:lpstr>Grafiken6.000</vt:lpstr>
      <vt:lpstr>3.000</vt:lpstr>
      <vt:lpstr>Folie3.000</vt:lpstr>
      <vt:lpstr>Grafiken3.000</vt:lpstr>
      <vt:lpstr>300Mobilstall</vt:lpstr>
      <vt:lpstr>FolieMobilstall</vt:lpstr>
      <vt:lpstr>GrafikenMobilstall</vt:lpstr>
      <vt:lpstr>Tabelle1</vt:lpstr>
      <vt:lpstr>'3.000'!Druckbereich</vt:lpstr>
      <vt:lpstr>'300Mobilstall'!Druckbereich</vt:lpstr>
      <vt:lpstr>'6.000'!Druckbereich</vt:lpstr>
      <vt:lpstr>Folie3.000!Druckbereich</vt:lpstr>
      <vt:lpstr>Folie6.000!Druckbereich</vt:lpstr>
      <vt:lpstr>FolieMobilstall!Druckbereich</vt:lpstr>
      <vt:lpstr>Grafiken3.000!Druckbereich</vt:lpstr>
      <vt:lpstr>Grafiken6.000!Druckbereich</vt:lpstr>
      <vt:lpstr>GrafikenMobilstall!Druckbereich</vt:lpstr>
      <vt:lpstr>Info!Druckbereich</vt:lpstr>
    </vt:vector>
  </TitlesOfParts>
  <Company>LEL Schwäbisch Gmünd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Öko-Henne</dc:title>
  <dc:subject>Vollkosten in der Schweinehaltung</dc:subject>
  <dc:creator>Dr. Volker Segger;Joerg.Miez@lel.bwl.de</dc:creator>
  <cp:keywords>Wirtschaftlichkeit Ökohühner, Deckungsbeitrag Ökohühner, Vollkosten Ökohühner</cp:keywords>
  <cp:lastModifiedBy>Miez, Jörg (LEL)</cp:lastModifiedBy>
  <cp:lastPrinted>2018-07-23T08:19:02Z</cp:lastPrinted>
  <dcterms:created xsi:type="dcterms:W3CDTF">1998-09-25T13:08:28Z</dcterms:created>
  <dcterms:modified xsi:type="dcterms:W3CDTF">2018-10-24T14:55:24Z</dcterms:modified>
</cp:coreProperties>
</file>